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495" activeTab="3"/>
  </bookViews>
  <sheets>
    <sheet name="SETUP" sheetId="1" r:id="rId1"/>
    <sheet name="EnterStats" sheetId="2" r:id="rId2"/>
    <sheet name="stats" sheetId="3" state="hidden" r:id="rId3"/>
    <sheet name="Discs to Print" sheetId="4" r:id="rId4"/>
    <sheet name="Card" sheetId="5" state="hidden" r:id="rId5"/>
    <sheet name="Card (2)" sheetId="6" state="hidden" r:id="rId6"/>
    <sheet name="Card (3)" sheetId="7" state="hidden" r:id="rId7"/>
    <sheet name="Card (4)" sheetId="8" state="hidden" r:id="rId8"/>
    <sheet name="Card (5)" sheetId="9" state="hidden" r:id="rId9"/>
  </sheets>
  <definedNames>
    <definedName name="DATA">'EnterStats'!$A$3:$O$1002</definedName>
    <definedName name="pattern">'Card'!$G$22:$I$39</definedName>
    <definedName name="pattern2">'Card (2)'!$G$22:$I$39</definedName>
    <definedName name="PATTERN3">'Card (3)'!$G$22:$I$39</definedName>
    <definedName name="PATTERN4">'Card (4)'!$G$22:$I$39</definedName>
    <definedName name="PATTERN5">'Card (5)'!$G$22:$I$39</definedName>
    <definedName name="_xlnm.Print_Area" localSheetId="3">'Discs to Print'!$B$2:$O$45</definedName>
  </definedNames>
  <calcPr fullCalcOnLoad="1"/>
</workbook>
</file>

<file path=xl/sharedStrings.xml><?xml version="1.0" encoding="utf-8"?>
<sst xmlns="http://schemas.openxmlformats.org/spreadsheetml/2006/main" count="817" uniqueCount="384">
  <si>
    <t>ENTER STATS ON THIS PAGE</t>
  </si>
  <si>
    <t>SELECT "DISCS TO PRINT" WORKSHEET AND PRINT</t>
  </si>
  <si>
    <t>First Name</t>
  </si>
  <si>
    <t>Last Name</t>
  </si>
  <si>
    <t>Team</t>
  </si>
  <si>
    <t>Position 1</t>
  </si>
  <si>
    <t>Position 2</t>
  </si>
  <si>
    <t>AB</t>
  </si>
  <si>
    <t>H</t>
  </si>
  <si>
    <t>2B</t>
  </si>
  <si>
    <t>3B</t>
  </si>
  <si>
    <t>HR</t>
  </si>
  <si>
    <t>BB</t>
  </si>
  <si>
    <t>SO</t>
  </si>
  <si>
    <t>GB%</t>
  </si>
  <si>
    <t>Comments</t>
  </si>
  <si>
    <t>Card #'s</t>
  </si>
  <si>
    <t>Percent</t>
  </si>
  <si>
    <t>Result</t>
  </si>
  <si>
    <t>plate appearances…………..</t>
  </si>
  <si>
    <t>At Bats</t>
  </si>
  <si>
    <t>First</t>
  </si>
  <si>
    <t>Hits</t>
  </si>
  <si>
    <t>Last</t>
  </si>
  <si>
    <t>Doubles</t>
  </si>
  <si>
    <t>Triples</t>
  </si>
  <si>
    <t>P1</t>
  </si>
  <si>
    <t>Home Runs</t>
  </si>
  <si>
    <t>P2</t>
  </si>
  <si>
    <t>Walks</t>
  </si>
  <si>
    <t>Strikeouts</t>
  </si>
  <si>
    <t>Notes:</t>
  </si>
  <si>
    <t>singles</t>
  </si>
  <si>
    <t>X</t>
  </si>
  <si>
    <t>Keep around 43% to have equal distribution of GB/FB (around .083)</t>
  </si>
  <si>
    <t>outs</t>
  </si>
  <si>
    <t>FB%</t>
  </si>
  <si>
    <t>Ave</t>
  </si>
  <si>
    <t>Should = 1</t>
  </si>
  <si>
    <t>Total</t>
  </si>
  <si>
    <t>INDEX#</t>
  </si>
  <si>
    <t>Index#</t>
  </si>
  <si>
    <t>Enter 'S' in comments for AB/HR/AVE stats</t>
  </si>
  <si>
    <t>Stat String for comments</t>
  </si>
  <si>
    <t>Ground</t>
  </si>
  <si>
    <t>Ball%</t>
  </si>
  <si>
    <t>PRESS ARROWS TO CHANGE TO THE NEXT SET OF  DISCS</t>
  </si>
  <si>
    <t>Number of Strikeout slices (10's)</t>
  </si>
  <si>
    <t>Number of Walk slices (9's)</t>
  </si>
  <si>
    <t>Note:  If you want only one slice enter 100% for all values.</t>
  </si>
  <si>
    <t xml:space="preserve">For three 10's the Strikeout Percentage is greater than…. </t>
  </si>
  <si>
    <t>For two 10's the Strikeout Percentage is greater than……</t>
  </si>
  <si>
    <t>For two 9's the Walk Percentage is greater than………….</t>
  </si>
  <si>
    <t>Original Values</t>
  </si>
  <si>
    <t>(So you won't forget)</t>
  </si>
  <si>
    <t>Change the values below (in yellow boxes) if you wish to reduce/change the number of 9's or 10's that appear on the batter's disc.</t>
  </si>
  <si>
    <t>E%</t>
  </si>
  <si>
    <t>Enter the fielding average (as a percent) for the league
(Groundouts and Flyouts will be reduced).
Enter 100% if you do not want an 'E' slice.</t>
  </si>
  <si>
    <t>Original Value</t>
  </si>
  <si>
    <t>Change the value if you wish to redistribute the Ground outs</t>
  </si>
  <si>
    <t>Change the value if you wish to have an 'E' (ERROR) slice.</t>
  </si>
  <si>
    <t>Enter the percentage of "2's" to appear on the disc………</t>
  </si>
  <si>
    <t>Enter the percentage of "6's" to appear on the disc………</t>
  </si>
  <si>
    <t>Enter the percentage of "12's" to appear on the disc…….</t>
  </si>
  <si>
    <t>Percentage total must equal 100%-&gt;</t>
  </si>
  <si>
    <t>Change the value if you wish to redistribute the Fly outs</t>
  </si>
  <si>
    <t>Enter the percentage of "3's" to appear on the disc………</t>
  </si>
  <si>
    <t>Enter the percentage of "4's" to appear on the disc………</t>
  </si>
  <si>
    <t>Enter the percentage of "8's" to appear on the disc………</t>
  </si>
  <si>
    <t>Enter the percentage of "14's" to appear on the disc…….</t>
  </si>
  <si>
    <t>Total %</t>
  </si>
  <si>
    <t>Change the value if you wish to redistribute Singles</t>
  </si>
  <si>
    <t>Enter the percentage of "7's" to appear on the disc………</t>
  </si>
  <si>
    <t>Enter the percentage of "13's" to appear on the disc…….</t>
  </si>
  <si>
    <t>Home Run (result "1")</t>
  </si>
  <si>
    <t>Ground Out (result "2")</t>
  </si>
  <si>
    <t>Fly Out (result "3")</t>
  </si>
  <si>
    <t>Fly Out (result "4")</t>
  </si>
  <si>
    <t>Triple (result "5")</t>
  </si>
  <si>
    <t>Ground Out (result "6")</t>
  </si>
  <si>
    <t>Single (result "7")</t>
  </si>
  <si>
    <t>Fly Out (result "8")</t>
  </si>
  <si>
    <t>Walk 1 (result "9")</t>
  </si>
  <si>
    <t>Walk 2 (result "9")</t>
  </si>
  <si>
    <t>Strikeout 1 (result "10")</t>
  </si>
  <si>
    <t>Strikeout 2 (result "10")</t>
  </si>
  <si>
    <t>Strikeout 3 (result "10")</t>
  </si>
  <si>
    <t>Double (result "11")</t>
  </si>
  <si>
    <t>Disc Result</t>
  </si>
  <si>
    <t>Original Order</t>
  </si>
  <si>
    <t>New Order</t>
  </si>
  <si>
    <t>Label</t>
  </si>
  <si>
    <t>Ground Out (result "12")</t>
  </si>
  <si>
    <t>Single (result "13")</t>
  </si>
  <si>
    <t>Fly Out (result "14")</t>
  </si>
  <si>
    <t>Error (result "E")</t>
  </si>
  <si>
    <t>E</t>
  </si>
  <si>
    <t>Formula</t>
  </si>
  <si>
    <t>Order</t>
  </si>
  <si>
    <t>Original Label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</si>
  <si>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</si>
  <si>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</si>
  <si>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</si>
  <si>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</si>
  <si>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</si>
  <si>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</si>
  <si>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</si>
  <si>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</si>
  <si>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</si>
  <si>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</si>
  <si>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</si>
  <si>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</si>
  <si>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</si>
  <si>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</si>
  <si>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Change the Card Pattern below by entering the value in clockwise order (starting from the top).</t>
  </si>
  <si>
    <t>Note: If you see a "#N/A" on your disc, you have two results with the same order number.</t>
  </si>
  <si>
    <t>R</t>
  </si>
  <si>
    <t>Use ALT-ENTER to add another line to a cell.</t>
  </si>
  <si>
    <t xml:space="preserve"> </t>
  </si>
  <si>
    <t>Japan Central League 2005</t>
  </si>
  <si>
    <t>Norichika</t>
  </si>
  <si>
    <t>AOKI</t>
  </si>
  <si>
    <t>Outfield</t>
  </si>
  <si>
    <t>Kosuke</t>
  </si>
  <si>
    <t>FUKUDOME</t>
  </si>
  <si>
    <t>Tomoaki</t>
  </si>
  <si>
    <t>KANEMOTO</t>
  </si>
  <si>
    <t xml:space="preserve">Tatsuhiko </t>
  </si>
  <si>
    <t>KINJOH</t>
  </si>
  <si>
    <t>Hirokazu</t>
  </si>
  <si>
    <t>IBATA</t>
  </si>
  <si>
    <t>Shortstop</t>
  </si>
  <si>
    <t>Akinori</t>
  </si>
  <si>
    <t>IWAMURA</t>
  </si>
  <si>
    <t>3rd Base</t>
  </si>
  <si>
    <t>Tomonori</t>
  </si>
  <si>
    <t>MAEDA</t>
  </si>
  <si>
    <t>Norihiro</t>
  </si>
  <si>
    <t>AKAHOSHI</t>
  </si>
  <si>
    <t>Hitoshi</t>
  </si>
  <si>
    <t>TANEDA</t>
  </si>
  <si>
    <t>1st Base</t>
  </si>
  <si>
    <t>2nd/SS/OF</t>
  </si>
  <si>
    <t>Tyrone</t>
  </si>
  <si>
    <t>WOODS</t>
  </si>
  <si>
    <t>Koichi</t>
  </si>
  <si>
    <t>OGATA</t>
  </si>
  <si>
    <t>Takahiro</t>
  </si>
  <si>
    <t>ARAI</t>
  </si>
  <si>
    <t>Outfield/3rd</t>
  </si>
  <si>
    <t>TAMURA</t>
  </si>
  <si>
    <t>Tomohiro</t>
  </si>
  <si>
    <t>NIOKA</t>
  </si>
  <si>
    <t>Shinnosuke</t>
  </si>
  <si>
    <t>ABE</t>
  </si>
  <si>
    <t>Catcher</t>
  </si>
  <si>
    <t>Takayuki</t>
  </si>
  <si>
    <t>SHIMIZU</t>
  </si>
  <si>
    <t>Masahiro</t>
  </si>
  <si>
    <t>ARAKI</t>
  </si>
  <si>
    <t>2nd Base</t>
  </si>
  <si>
    <t>Andy</t>
  </si>
  <si>
    <t>SHEETS</t>
  </si>
  <si>
    <t>Shigenobu</t>
  </si>
  <si>
    <t>SHIMA</t>
  </si>
  <si>
    <t>Alex</t>
  </si>
  <si>
    <t>RAMIREZ</t>
  </si>
  <si>
    <t>Hiroki</t>
  </si>
  <si>
    <t>KOKUBO</t>
  </si>
  <si>
    <t>Makoto</t>
  </si>
  <si>
    <t>IMAOKA</t>
  </si>
  <si>
    <t>Takashi</t>
  </si>
  <si>
    <t>TORITANI</t>
  </si>
  <si>
    <t>Shinjiro</t>
  </si>
  <si>
    <t>HIYAMA</t>
  </si>
  <si>
    <t>SAEKI</t>
  </si>
  <si>
    <t>Akihiro</t>
  </si>
  <si>
    <t>YANO</t>
  </si>
  <si>
    <t>OCHOA</t>
  </si>
  <si>
    <t>Toshihisa</t>
  </si>
  <si>
    <t>NISHI</t>
  </si>
  <si>
    <t>Shinya</t>
  </si>
  <si>
    <t>MIYAMOTO</t>
  </si>
  <si>
    <t>Ryouji</t>
  </si>
  <si>
    <t>AIKAWA</t>
  </si>
  <si>
    <t>Avg:  .344
Bats:  Left
SB:  29/36/80.56%</t>
  </si>
  <si>
    <t>Avg:  .328
Bats:  Left
SB:  13/18/72%</t>
  </si>
  <si>
    <t>Avg:  .327
Bats:  Left
SB:  3/4/75%</t>
  </si>
  <si>
    <t>Avg:  .324
Bats:  Both
SB:  1/3/33%</t>
  </si>
  <si>
    <t>Avg:  .323
Bats:  Right
SB:  22/30/73%</t>
  </si>
  <si>
    <t>Avg:  .319
Bats:  Left
SB:  6/9/66.67%</t>
  </si>
  <si>
    <t>Avg:  .319
Bats:  Left
SB:  1/3/33%</t>
  </si>
  <si>
    <t>Avg:  .316
Bats:  Left
SB:  60/72/83%</t>
  </si>
  <si>
    <t>Avg:  .310
Bats:  Right
SB:  7/10/70%</t>
  </si>
  <si>
    <t>Avg:  .306
Bats:  Right
SB:  3/3/100%</t>
  </si>
  <si>
    <t>Avg:  .306
Bats:  Right
SB:  3/8/37.5%</t>
  </si>
  <si>
    <t>Avg:  .305
Bats:  Right
SB:  3/6/50%</t>
  </si>
  <si>
    <t>Avg:  .304
Bats:  Right
SB:  2/6/33%</t>
  </si>
  <si>
    <t>Avg:  .301
Bats:  Right
SB:  33/100%</t>
  </si>
  <si>
    <t>Avg:  .300
Bats:  Left
SB:  0/2/0%</t>
  </si>
  <si>
    <t>Avg:  .300
Bats:  Left
SB:  4/7/57%</t>
  </si>
  <si>
    <t>Avg:  .291
Bats:  Right
SB:  42/53/79%</t>
  </si>
  <si>
    <t>Avg:  .289
Bats:  Right
SB:  1/3/33%</t>
  </si>
  <si>
    <t>Avg:  .288
Bats:  Left
SB:  4/6/66.67%</t>
  </si>
  <si>
    <t>Avg:  .282
Bats:  Right
SB:  5/6/83%</t>
  </si>
  <si>
    <t>Avg:  .281
Bats:  Right
SB:  12/50%</t>
  </si>
  <si>
    <t>Avg:  .279
Bats:  Right
SB:  1/2/50%</t>
  </si>
  <si>
    <t>Avg:  .278
Bats:  Left
SB:  5/10/50%</t>
  </si>
  <si>
    <t>Avg:  .278
Bats:  Left
SB:  1/2/50%</t>
  </si>
  <si>
    <t>Avg:  .272
Bats:  Left
SB:  5/8/62.5%</t>
  </si>
  <si>
    <t>Avg:  .271
Bats:  Right
SB:  1/2/50%</t>
  </si>
  <si>
    <t>Avg:  .269
Bats:  Right
SB:  2/3/66.67%</t>
  </si>
  <si>
    <t>Avg:  .269
Bats:  Right
SB:  5/12/41.67%</t>
  </si>
  <si>
    <t>Avg:  .265
Bats:  Right
SB:  5/7/71.43%</t>
  </si>
  <si>
    <t>Avg:  .259
Bats:  Right
SB:  0/2/0%</t>
  </si>
  <si>
    <t>Japan Pacific League 2005</t>
  </si>
  <si>
    <t>Kazuhiro</t>
  </si>
  <si>
    <t>WADA</t>
  </si>
  <si>
    <t>Avg:  .322
Bats:  Right
SB:  3/6/50%</t>
  </si>
  <si>
    <t>Julio</t>
  </si>
  <si>
    <t>ZULETA</t>
  </si>
  <si>
    <t>Avg:  .319
Bats:  Right
SB:  0/1/0%</t>
  </si>
  <si>
    <t>Nobuhiko</t>
  </si>
  <si>
    <t>MATSUNAKA</t>
  </si>
  <si>
    <t>Avg:  .315
Bats:  Left
SB:  2/3/66.67%</t>
  </si>
  <si>
    <t>Yoshihito</t>
  </si>
  <si>
    <t>ISHII</t>
  </si>
  <si>
    <t>Avg:  .312
Bats:  Left
SB:  7/12/58%</t>
  </si>
  <si>
    <t>Katsuhiko</t>
  </si>
  <si>
    <t>MIYAJI</t>
  </si>
  <si>
    <t>Avg:  .311
Bats:  Left
SB:  1/4/25%</t>
  </si>
  <si>
    <t>Toshiaki</t>
  </si>
  <si>
    <t>IMAE</t>
  </si>
  <si>
    <t>Avg:  .310
Bats:  Right
SB:  4/5/80%</t>
  </si>
  <si>
    <t>JOHJIMA</t>
  </si>
  <si>
    <t>Avg:  .309
Bats:  Right
SB:  3/7/42.86%</t>
  </si>
  <si>
    <t>Kenji</t>
  </si>
  <si>
    <t>HORI</t>
  </si>
  <si>
    <t>Avg:  .305
Bats:  Right
SB:  2/7/28.57%</t>
  </si>
  <si>
    <t>Matt</t>
  </si>
  <si>
    <t>FRANCO</t>
  </si>
  <si>
    <t>Avg:  .300
Bats:  Left
SB:  2/4/50%</t>
  </si>
  <si>
    <t>CABRERA</t>
  </si>
  <si>
    <t>Avg:  .300
Bats:  Right
SB:  1/1/100%</t>
  </si>
  <si>
    <t>Kazuya</t>
  </si>
  <si>
    <t>FUKUURA</t>
  </si>
  <si>
    <t>Jolbert</t>
  </si>
  <si>
    <t>3rd Base/SS</t>
  </si>
  <si>
    <t>Avg:  .297
Bats:  Right
SB:  3/10/30%</t>
  </si>
  <si>
    <t>Jose</t>
  </si>
  <si>
    <t>FERNANDEZ</t>
  </si>
  <si>
    <t>Avg:  .293
Bats:  Right
SB:  5/6/83%</t>
  </si>
  <si>
    <t>Fernando</t>
  </si>
  <si>
    <t>SEGUIGNOL</t>
  </si>
  <si>
    <t>Avg:  .288
Bats:  Both
SB:  1/2/50%</t>
  </si>
  <si>
    <t>Keiichi</t>
  </si>
  <si>
    <t>HIRANO</t>
  </si>
  <si>
    <t>Avg:  .285
Bats:  Left
SB:  6/9/66.67%</t>
  </si>
  <si>
    <t>Michihiro</t>
  </si>
  <si>
    <t>OGASAWARA</t>
  </si>
  <si>
    <t>Avg:  .282
Bats:  Left
SB:  2/3/66.67%</t>
  </si>
  <si>
    <t>Yuji</t>
  </si>
  <si>
    <t>YOSHIOKA</t>
  </si>
  <si>
    <t>Avg:  .282
Bats:  Right
SB:  0/0/0%</t>
  </si>
  <si>
    <t>Kuniyuki</t>
  </si>
  <si>
    <t>KIMOTO</t>
  </si>
  <si>
    <t>1st Base/3rd</t>
  </si>
  <si>
    <t>Avg:  .281
Bats:  Left
SB:  4/8/50%</t>
  </si>
  <si>
    <t>Hiroyuki</t>
  </si>
  <si>
    <t>NAKAJIMA</t>
  </si>
  <si>
    <t>Avg:  .274
Bats:  Right
SB:  11/14/78.57%</t>
  </si>
  <si>
    <t>Shogo</t>
  </si>
  <si>
    <t>AKADA</t>
  </si>
  <si>
    <t>Avg:  .272
Bats:  Both
SB:  20/23/86.96%</t>
  </si>
  <si>
    <t>Munenori</t>
  </si>
  <si>
    <t>KAWASAKI</t>
  </si>
  <si>
    <t>Avg:  .271
Bats:  Left
SB:  21/31/67.7%</t>
  </si>
  <si>
    <t>Atsunori</t>
  </si>
  <si>
    <t>INABA</t>
  </si>
  <si>
    <t>Avg:  .271
Bats:  Left
SB:  3/6/50%</t>
  </si>
  <si>
    <t>Naoyuki</t>
  </si>
  <si>
    <t>OHMURA</t>
  </si>
  <si>
    <t>Avg:  .270
Bats:  Left
SB:  31/40/77.5%</t>
  </si>
  <si>
    <t>Tsuyoshi</t>
  </si>
  <si>
    <t>NISHIOKA</t>
  </si>
  <si>
    <t>Avg:  .268
Bats:  Both
SB:  41/50/82%</t>
  </si>
  <si>
    <t>Takeshi</t>
  </si>
  <si>
    <t>YAMASAKI</t>
  </si>
  <si>
    <t>Avg:  .266
Bats:  Right
SB:  0/1/0%</t>
  </si>
  <si>
    <t>ISOBE</t>
  </si>
  <si>
    <t>Avg:  .264
Bats:  Left
SB:  2/8/25%</t>
  </si>
  <si>
    <t>Tony</t>
  </si>
  <si>
    <t>BATISTA</t>
  </si>
  <si>
    <t>2nd Base/SS</t>
  </si>
  <si>
    <t>Avg:  .263
Bats:  Right
SB:  3/5/60%</t>
  </si>
  <si>
    <t>Benny</t>
  </si>
  <si>
    <t>AGBAYANI</t>
  </si>
  <si>
    <t>Tasuku</t>
  </si>
  <si>
    <t>HASHIMOTO</t>
  </si>
  <si>
    <t>Avg:  .257
Bats:  Left
SB:  1/2/50%</t>
  </si>
  <si>
    <t>SEKIKAWA</t>
  </si>
  <si>
    <t>Avg:  .287
Bats:  Left
SB:  7/13/53.85%</t>
  </si>
  <si>
    <t>Lotte (PL) 2005</t>
  </si>
  <si>
    <t>Avg:  .363
Bats:  Left
SB:  0/2/0%</t>
  </si>
  <si>
    <t>Kiyoshi</t>
  </si>
  <si>
    <t>HATSUSHIBA</t>
  </si>
  <si>
    <t>Avg:  .220
Bats:  Right
SB:  0</t>
  </si>
  <si>
    <t>Hisao</t>
  </si>
  <si>
    <t>HEIUCHI</t>
  </si>
  <si>
    <t>Koji</t>
  </si>
  <si>
    <t>HIRASHITA</t>
  </si>
  <si>
    <t>Avg:  .357
Bats:  Right
SB:  2/7/28.57%</t>
  </si>
  <si>
    <t>Avg:  .250 (4 AB, 1 H)
Bats:  Left
SB:  0</t>
  </si>
  <si>
    <t>Avg:  .211
Bats:  Left
SB:  0/1/0%</t>
  </si>
  <si>
    <t>Shortstop/2nd</t>
  </si>
  <si>
    <t>Jun</t>
  </si>
  <si>
    <t>INOUE</t>
  </si>
  <si>
    <t>Avg:  .163
Bats:  Left
SB:  0</t>
  </si>
  <si>
    <t>Tetsuya</t>
  </si>
  <si>
    <t>KAKIUCHI</t>
  </si>
  <si>
    <t>Avg:  .132
Bats:  Right
SB:  0</t>
  </si>
  <si>
    <t>KOSAKA</t>
  </si>
  <si>
    <t>Avg:  .283
Bats:  Left
SB:  26/37/70%</t>
  </si>
  <si>
    <t>Seung-yeop</t>
  </si>
  <si>
    <t>LEE</t>
  </si>
  <si>
    <t>Avg:  .315
Bats:  Left
SB:  5/9/55.56%</t>
  </si>
  <si>
    <t>MOROZUMI</t>
  </si>
  <si>
    <t>Avg:  .250
Bats:  Left
SB:  1/2/50%</t>
  </si>
  <si>
    <t>Saburo</t>
  </si>
  <si>
    <t>OMURA</t>
  </si>
  <si>
    <t>Avg:  .313
Bats:  Right
SB:  6/9/66.67%</t>
  </si>
  <si>
    <t>Akira</t>
  </si>
  <si>
    <t>OTSUKA</t>
  </si>
  <si>
    <t>Avg:  .293
Bats:  Right
SB:  7/12/58%</t>
  </si>
  <si>
    <t>Val</t>
  </si>
  <si>
    <t>PASCUCCI</t>
  </si>
  <si>
    <t>Avg:  .284
Bats:  Right
SB:  1/2/50%</t>
  </si>
  <si>
    <t>Tomoya</t>
  </si>
  <si>
    <t>SATOZAKI</t>
  </si>
  <si>
    <t>Avg:  .303
Bats:  Right
SB:  1/1/100%</t>
  </si>
  <si>
    <t>Masato</t>
  </si>
  <si>
    <t>WATANABE</t>
  </si>
  <si>
    <t>Avg:  .231 (13 ABs)
Bats:  Right
SB:  3/4/75%</t>
  </si>
  <si>
    <t>Hanshin (CL) 2005</t>
  </si>
  <si>
    <t>ASAI</t>
  </si>
  <si>
    <t>Avg:  .250
Bats:  Right
SB:  1/1/100%</t>
  </si>
  <si>
    <t>Atsushi</t>
  </si>
  <si>
    <t>FUJIMOTO</t>
  </si>
  <si>
    <t>Avg:  .249
Bats:  Left
SB:  3/4/75%</t>
  </si>
  <si>
    <t>Osamu</t>
  </si>
  <si>
    <t>HAMANAKA</t>
  </si>
  <si>
    <t>Avg:  .284
Bats:  Right
SB:  0/1/0%</t>
  </si>
  <si>
    <t>Taiichiro</t>
  </si>
  <si>
    <t>KAMISAKA</t>
  </si>
  <si>
    <t>Avg:  .154
Bats:  Right
SB:  0</t>
  </si>
  <si>
    <t>Keisuke</t>
  </si>
  <si>
    <t>KANO</t>
  </si>
  <si>
    <t>Avg:  .000 (1 AB; 1 K)
Bats:  Right
SB:  0</t>
  </si>
  <si>
    <t>KATAOKA</t>
  </si>
  <si>
    <t>Avg:  .211
Bats:  Left
SB:  0</t>
  </si>
  <si>
    <t>Wei-tsu</t>
  </si>
  <si>
    <t>LIN</t>
  </si>
  <si>
    <t>Avg:  .417 (12 ABs)
Bats:  Left
SB:  0</t>
  </si>
  <si>
    <t>Kojiro</t>
  </si>
  <si>
    <t>MACHIDA</t>
  </si>
  <si>
    <t>Avg:  .188
Bats:  Right
SB:  0</t>
  </si>
  <si>
    <t>Yutaka</t>
  </si>
  <si>
    <t>NAKAMURA</t>
  </si>
  <si>
    <t>Avg:  .433 (30 ABs)
Bats:  Right
SB:  0/1/0%</t>
  </si>
  <si>
    <t>Toshihiro</t>
  </si>
  <si>
    <t>NOGUCHI</t>
  </si>
  <si>
    <t>1st Base/OF</t>
  </si>
  <si>
    <t>Avg:  .161
Bats:  Right
SB:  0</t>
  </si>
  <si>
    <t>Kentaro</t>
  </si>
  <si>
    <t>SEKIMOTO</t>
  </si>
  <si>
    <t>1st/SS/2nd</t>
  </si>
  <si>
    <t>Avg:  .297
Bats:  Right
SB:  1/2/50%</t>
  </si>
  <si>
    <t>Shane</t>
  </si>
  <si>
    <t>SPENCER</t>
  </si>
  <si>
    <t>Avg:  .243
Bats:  Right
SB:  0/1/0%</t>
  </si>
  <si>
    <t>Shuta</t>
  </si>
  <si>
    <t>TANAKA</t>
  </si>
  <si>
    <t>Avg:  .000 (5 ABs)
Bats:  Left
SB:  0/2/0%</t>
  </si>
  <si>
    <t>3rd Base/PR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</si>
</sst>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%"/>
    <numFmt numFmtId="167" formatCode="0.000"/>
    <numFmt numFmtId="168" formatCode=".000"/>
    <numFmt numFmtId="169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4"/>
      <name val="Arial Narrow"/>
      <family val="2"/>
    </font>
    <font>
      <i/>
      <sz val="8"/>
      <name val="Arial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b/>
      <sz val="12"/>
      <name val="Arial Black"/>
      <family val="2"/>
    </font>
    <font>
      <b/>
      <sz val="8"/>
      <color indexed="10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6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shrinkToFit="1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166" fontId="0" fillId="0" borderId="0" xfId="19" applyNumberFormat="1" applyAlignment="1">
      <alignment/>
    </xf>
    <xf numFmtId="0" fontId="4" fillId="0" borderId="3" xfId="0" applyFont="1" applyBorder="1" applyAlignment="1">
      <alignment/>
    </xf>
    <xf numFmtId="166" fontId="0" fillId="0" borderId="4" xfId="19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0" xfId="19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166" fontId="6" fillId="2" borderId="0" xfId="19" applyNumberFormat="1" applyFont="1" applyFill="1" applyBorder="1" applyAlignment="1">
      <alignment horizontal="left"/>
    </xf>
    <xf numFmtId="10" fontId="0" fillId="0" borderId="0" xfId="19" applyNumberFormat="1" applyBorder="1" applyAlignment="1">
      <alignment horizontal="right"/>
    </xf>
    <xf numFmtId="166" fontId="0" fillId="0" borderId="0" xfId="19" applyNumberFormat="1" applyBorder="1" applyAlignment="1">
      <alignment horizontal="left"/>
    </xf>
    <xf numFmtId="0" fontId="0" fillId="0" borderId="8" xfId="0" applyBorder="1" applyAlignment="1">
      <alignment/>
    </xf>
    <xf numFmtId="166" fontId="0" fillId="0" borderId="9" xfId="19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right"/>
    </xf>
    <xf numFmtId="166" fontId="6" fillId="2" borderId="9" xfId="19" applyNumberFormat="1" applyFont="1" applyFill="1" applyBorder="1" applyAlignment="1">
      <alignment horizontal="left" vertical="center"/>
    </xf>
    <xf numFmtId="9" fontId="0" fillId="0" borderId="10" xfId="19" applyBorder="1" applyAlignment="1">
      <alignment horizontal="right" vertical="center"/>
    </xf>
    <xf numFmtId="166" fontId="0" fillId="0" borderId="7" xfId="19" applyNumberFormat="1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9" xfId="19" applyNumberFormat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6" fontId="0" fillId="0" borderId="0" xfId="19" applyNumberFormat="1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(3)'!$A$2:$A$19</c:f>
              <c:strCache>
                <c:ptCount val="18"/>
                <c:pt idx="0">
                  <c:v> </c:v>
                </c:pt>
                <c:pt idx="1">
                  <c:v>10</c:v>
                </c:pt>
                <c:pt idx="2">
                  <c:v> </c:v>
                </c:pt>
                <c:pt idx="3">
                  <c:v>6</c:v>
                </c:pt>
                <c:pt idx="4">
                  <c:v> </c:v>
                </c:pt>
                <c:pt idx="5">
                  <c:v>14</c:v>
                </c:pt>
                <c:pt idx="6">
                  <c:v>2</c:v>
                </c:pt>
                <c:pt idx="7">
                  <c:v> </c:v>
                </c:pt>
                <c:pt idx="8">
                  <c:v>4</c:v>
                </c:pt>
                <c:pt idx="9">
                  <c:v> </c:v>
                </c:pt>
                <c:pt idx="10">
                  <c:v>12</c:v>
                </c:pt>
                <c:pt idx="11">
                  <c:v> 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'Card (3)'!$B$2:$B$19</c:f>
              <c:numCache>
                <c:ptCount val="18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0.0996</c:v>
                </c:pt>
                <c:pt idx="4">
                  <c:v>0</c:v>
                </c:pt>
                <c:pt idx="5">
                  <c:v>0.18</c:v>
                </c:pt>
                <c:pt idx="6">
                  <c:v>0.06</c:v>
                </c:pt>
                <c:pt idx="7">
                  <c:v>0</c:v>
                </c:pt>
                <c:pt idx="8">
                  <c:v>0.054</c:v>
                </c:pt>
                <c:pt idx="9">
                  <c:v>0</c:v>
                </c:pt>
                <c:pt idx="10">
                  <c:v>0.0804</c:v>
                </c:pt>
                <c:pt idx="11">
                  <c:v>0</c:v>
                </c:pt>
                <c:pt idx="12">
                  <c:v>0.018</c:v>
                </c:pt>
                <c:pt idx="13">
                  <c:v>0.12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(5)'!$A$2:$A$19</c:f>
              <c:strCache/>
            </c:strRef>
          </c:cat>
          <c:val>
            <c:numRef>
              <c:f>'Card (5)'!$B$2:$B$19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Card!$A$2:$A$19</c:f>
              <c:strCache>
                <c:ptCount val="18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5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Card!$B$2:$B$19</c:f>
              <c:numCache>
                <c:ptCount val="18"/>
                <c:pt idx="0">
                  <c:v>0.03135313531353135</c:v>
                </c:pt>
                <c:pt idx="1">
                  <c:v>0.23927392739273928</c:v>
                </c:pt>
                <c:pt idx="2">
                  <c:v>0.0429042904290429</c:v>
                </c:pt>
                <c:pt idx="3">
                  <c:v>0.0693036303630363</c:v>
                </c:pt>
                <c:pt idx="4">
                  <c:v>0.0627062706270627</c:v>
                </c:pt>
                <c:pt idx="5">
                  <c:v>0.12524752475247525</c:v>
                </c:pt>
                <c:pt idx="6">
                  <c:v>0.04174917491749175</c:v>
                </c:pt>
                <c:pt idx="7">
                  <c:v>0.07590759075907591</c:v>
                </c:pt>
                <c:pt idx="8">
                  <c:v>0.03757425742574257</c:v>
                </c:pt>
                <c:pt idx="9">
                  <c:v>0.0016501650165016502</c:v>
                </c:pt>
                <c:pt idx="10">
                  <c:v>0.05594389438943895</c:v>
                </c:pt>
                <c:pt idx="11">
                  <c:v>0.12871287128712872</c:v>
                </c:pt>
                <c:pt idx="12">
                  <c:v>0.012524752475247525</c:v>
                </c:pt>
                <c:pt idx="13">
                  <c:v>0.050099009900990095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225"/>
          <c:w val="0.972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(2)'!$A$2:$A$19</c:f>
              <c:strCache>
                <c:ptCount val="18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 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'Card (2)'!$B$2:$B$19</c:f>
              <c:numCache>
                <c:ptCount val="18"/>
                <c:pt idx="0">
                  <c:v>0.02903225806451613</c:v>
                </c:pt>
                <c:pt idx="1">
                  <c:v>0.22580645161290322</c:v>
                </c:pt>
                <c:pt idx="2">
                  <c:v>0.03387096774193549</c:v>
                </c:pt>
                <c:pt idx="3">
                  <c:v>0.07443225806451613</c:v>
                </c:pt>
                <c:pt idx="4">
                  <c:v>0.05161290322580645</c:v>
                </c:pt>
                <c:pt idx="5">
                  <c:v>0.13451612903225804</c:v>
                </c:pt>
                <c:pt idx="6">
                  <c:v>0.044838709677419354</c:v>
                </c:pt>
                <c:pt idx="7">
                  <c:v>0.10967741935483871</c:v>
                </c:pt>
                <c:pt idx="8">
                  <c:v>0.04035483870967741</c:v>
                </c:pt>
                <c:pt idx="9">
                  <c:v>0</c:v>
                </c:pt>
                <c:pt idx="10">
                  <c:v>0.06008387096774194</c:v>
                </c:pt>
                <c:pt idx="11">
                  <c:v>0.10161290322580646</c:v>
                </c:pt>
                <c:pt idx="12">
                  <c:v>0.013451612903225805</c:v>
                </c:pt>
                <c:pt idx="13">
                  <c:v>0.08967741935483871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(4)'!$A$2:$A$19</c:f>
              <c:strCache>
                <c:ptCount val="18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5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'Card (4)'!$B$2:$B$19</c:f>
              <c:numCache>
                <c:ptCount val="18"/>
                <c:pt idx="0">
                  <c:v>0.0144</c:v>
                </c:pt>
                <c:pt idx="1">
                  <c:v>0.184</c:v>
                </c:pt>
                <c:pt idx="2">
                  <c:v>0.0488</c:v>
                </c:pt>
                <c:pt idx="3">
                  <c:v>0.07914879999999999</c:v>
                </c:pt>
                <c:pt idx="4">
                  <c:v>0.0432</c:v>
                </c:pt>
                <c:pt idx="5">
                  <c:v>0.14304</c:v>
                </c:pt>
                <c:pt idx="6">
                  <c:v>0.04768</c:v>
                </c:pt>
                <c:pt idx="7">
                  <c:v>0.0848</c:v>
                </c:pt>
                <c:pt idx="8">
                  <c:v>0.042912</c:v>
                </c:pt>
                <c:pt idx="9">
                  <c:v>0.0016</c:v>
                </c:pt>
                <c:pt idx="10">
                  <c:v>0.06389120000000001</c:v>
                </c:pt>
                <c:pt idx="11">
                  <c:v>0.1464</c:v>
                </c:pt>
                <c:pt idx="12">
                  <c:v>0.014304</c:v>
                </c:pt>
                <c:pt idx="13">
                  <c:v>0.09536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(5)'!$A$2:$A$19</c:f>
              <c:strCache>
                <c:ptCount val="18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 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'Card (5)'!$B$2:$B$19</c:f>
              <c:numCache>
                <c:ptCount val="18"/>
                <c:pt idx="0">
                  <c:v>0.035781544256120526</c:v>
                </c:pt>
                <c:pt idx="1">
                  <c:v>0.2128060263653484</c:v>
                </c:pt>
                <c:pt idx="2">
                  <c:v>0.0423728813559322</c:v>
                </c:pt>
                <c:pt idx="3">
                  <c:v>0.07846704331450094</c:v>
                </c:pt>
                <c:pt idx="4">
                  <c:v>0.04896421845574388</c:v>
                </c:pt>
                <c:pt idx="5">
                  <c:v>0.14180790960451978</c:v>
                </c:pt>
                <c:pt idx="6">
                  <c:v>0.047269303201506595</c:v>
                </c:pt>
                <c:pt idx="7">
                  <c:v>0.060263653483992465</c:v>
                </c:pt>
                <c:pt idx="8">
                  <c:v>0.042542372881355935</c:v>
                </c:pt>
                <c:pt idx="9">
                  <c:v>0</c:v>
                </c:pt>
                <c:pt idx="10">
                  <c:v>0.06334086629001884</c:v>
                </c:pt>
                <c:pt idx="11">
                  <c:v>0.1271186440677966</c:v>
                </c:pt>
                <c:pt idx="12">
                  <c:v>0.014180790960451979</c:v>
                </c:pt>
                <c:pt idx="13">
                  <c:v>0.09453860640301319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Card!$A$2:$A$19</c:f>
              <c:strCache/>
            </c:strRef>
          </c:cat>
          <c:val>
            <c:numRef>
              <c:f>Card!$B$2:$B$19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(2)'!$A$2:$A$19</c:f>
              <c:strCache/>
            </c:strRef>
          </c:cat>
          <c:val>
            <c:numRef>
              <c:f>'Card (2)'!$B$2:$B$19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(3)'!$A$2:$A$19</c:f>
              <c:strCache/>
            </c:strRef>
          </c:cat>
          <c:val>
            <c:numRef>
              <c:f>'Card (3)'!$B$2:$B$19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(4)'!$A$2:$A$19</c:f>
              <c:strCache/>
            </c:strRef>
          </c:cat>
          <c:val>
            <c:numRef>
              <c:f>'Card (4)'!$B$2:$B$19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3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4a7b649-a3b1-4f62-8a8c-9c03e4ba43a4}" type="TxLink">
            <a:rPr lang="en-US" cap="none" sz="1200" b="1" i="0" u="none" baseline="0"/>
            <a:t>Shuta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2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3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30d24e1-0031-4ba1-be5a-dce4cc83a2e7}" type="TxLink">
            <a:rPr lang="en-US" cap="none" sz="1600" b="1" i="0" u="none" baseline="0"/>
            <a:t>TANAKA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3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a6a5ce37-cab5-4e89-9e92-bf8bebac0671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0.318</cdr:x>
      <cdr:y>0.5745</cdr:y>
    </cdr:from>
    <cdr:to>
      <cdr:x>0.698</cdr:x>
      <cdr:y>0.61575</cdr:y>
    </cdr:to>
    <cdr:sp textlink="'Card (3)'!$I$5">
      <cdr:nvSpPr>
        <cdr:cNvPr id="5" name="Text 4"/>
        <cdr:cNvSpPr txBox="1">
          <a:spLocks noChangeArrowheads="1"/>
        </cdr:cNvSpPr>
      </cdr:nvSpPr>
      <cdr:spPr>
        <a:xfrm>
          <a:off x="1114425" y="2247900"/>
          <a:ext cx="1343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906c0bd-1a52-4828-8c78-3a2367ee9f98}" type="TxLink">
            <a:rPr lang="en-US" cap="none" sz="1100" b="1" i="0" u="none" baseline="0"/>
            <a:t>2nd Base</a:t>
          </a:fld>
        </a:p>
      </cdr:txBody>
    </cdr:sp>
  </cdr:relSizeAnchor>
  <cdr:relSizeAnchor xmlns:cdr="http://schemas.openxmlformats.org/drawingml/2006/chartDrawing">
    <cdr:from>
      <cdr:x>0.3735</cdr:x>
      <cdr:y>0.634</cdr:y>
    </cdr:from>
    <cdr:to>
      <cdr:x>0.643</cdr:x>
      <cdr:y>0.67525</cdr:y>
    </cdr:to>
    <cdr:sp textlink="'Card (3)'!$I$6">
      <cdr:nvSpPr>
        <cdr:cNvPr id="6" name="Text 4"/>
        <cdr:cNvSpPr txBox="1">
          <a:spLocks noChangeArrowheads="1"/>
        </cdr:cNvSpPr>
      </cdr:nvSpPr>
      <cdr:spPr>
        <a:xfrm>
          <a:off x="1314450" y="2476500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064e1b8-d346-41a2-9f94-b2d0f0dd7fe2}" type="TxLink">
            <a:rPr lang="en-US" cap="none" sz="1100" b="1" i="0" u="none" baseline="0"/>
            <a:t>3rd Base/PR</a:t>
          </a:fld>
        </a:p>
      </cdr:txBody>
    </cdr:sp>
  </cdr:relSizeAnchor>
  <cdr:relSizeAnchor xmlns:cdr="http://schemas.openxmlformats.org/drawingml/2006/chartDrawing">
    <cdr:from>
      <cdr:x>0.318</cdr:x>
      <cdr:y>0.435</cdr:y>
    </cdr:from>
    <cdr:to>
      <cdr:x>0.717</cdr:x>
      <cdr:y>0.57375</cdr:y>
    </cdr:to>
    <cdr:sp textlink="'Card (3)'!$I$7">
      <cdr:nvSpPr>
        <cdr:cNvPr id="7" name="Text 1"/>
        <cdr:cNvSpPr txBox="1">
          <a:spLocks noChangeArrowheads="1"/>
        </cdr:cNvSpPr>
      </cdr:nvSpPr>
      <cdr:spPr>
        <a:xfrm>
          <a:off x="1114425" y="1695450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a1dcf73-a8af-4d2c-be0c-84ae04be074c}" type="TxLink">
            <a:rPr lang="en-US" cap="none" sz="1000" b="1" i="1" u="none" baseline="0">
              <a:latin typeface="Arial"/>
              <a:ea typeface="Arial"/>
              <a:cs typeface="Arial"/>
            </a:rPr>
            <a:t>Avg:  .000 (5 ABs)
Bats:  Left
SB:  0/2/0%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3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edb6696-dd89-40ab-912e-d62bab4c0749}" type="TxLink">
            <a:rPr lang="en-US" cap="none" sz="1400" b="1" i="0" u="none" baseline="0"/>
            <a:t>Shuta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3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a5cdd60-fda3-4def-b269-e4139199b537}" type="TxLink">
            <a:rPr lang="en-US" cap="none" sz="800" b="0" i="1" u="none" baseline="0"/>
            <a:t>Avg:  .000 (5 ABs)
Bats:  Left
SB:  0/2/0%</a:t>
          </a:fld>
        </a:p>
      </cdr:txBody>
    </cdr:sp>
  </cdr:relSizeAnchor>
  <cdr:relSizeAnchor xmlns:cdr="http://schemas.openxmlformats.org/drawingml/2006/chartDrawing">
    <cdr:from>
      <cdr:x>0.427</cdr:x>
      <cdr:y>0.4085</cdr:y>
    </cdr:from>
    <cdr:to>
      <cdr:x>0.4405</cdr:x>
      <cdr:y>0.43525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590675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3)'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3d00da5-d30d-4901-96ff-fe8e1479fc4d}" type="TxLink">
            <a:rPr lang="en-US" cap="none" sz="1600" b="1" i="0" u="none" baseline="0"/>
            <a:t>TANAKA</a:t>
          </a:fld>
        </a:p>
      </cdr:txBody>
    </cdr:sp>
  </cdr:relSizeAnchor>
  <cdr:relSizeAnchor xmlns:cdr="http://schemas.openxmlformats.org/drawingml/2006/chartDrawing">
    <cdr:from>
      <cdr:x>0.2855</cdr:x>
      <cdr:y>0.3885</cdr:y>
    </cdr:from>
    <cdr:to>
      <cdr:x>0.7275</cdr:x>
      <cdr:y>0.43475</cdr:y>
    </cdr:to>
    <cdr:sp textlink="'Card (3)'!$I$4">
      <cdr:nvSpPr>
        <cdr:cNvPr id="5" name="Text 4"/>
        <cdr:cNvSpPr txBox="1">
          <a:spLocks noChangeArrowheads="1"/>
        </cdr:cNvSpPr>
      </cdr:nvSpPr>
      <cdr:spPr>
        <a:xfrm>
          <a:off x="1000125" y="1514475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2c85391a-e86b-45d8-afc6-28fc1d0abbae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3)'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6718d39-d634-4204-9b7b-2f2366de4576}" type="TxLink">
            <a:rPr lang="en-US" cap="none" sz="1100" b="1" i="0" u="none" baseline="0"/>
            <a:t>2nd Base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3)'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2c446f1-068e-4e8f-9277-bc318dbcc115}" type="TxLink">
            <a:rPr lang="en-US" cap="none" sz="1100" b="1" i="0" u="none" baseline="0"/>
            <a:t>3rd Base/PR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20</xdr:row>
      <xdr:rowOff>133350</xdr:rowOff>
    </xdr:from>
    <xdr:to>
      <xdr:col>5</xdr:col>
      <xdr:colOff>457200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14375" y="33718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4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04e6245-d72e-4411-9703-7540b3b38a38}" type="TxLink">
            <a:rPr lang="en-US" cap="none" sz="1400" b="1" i="0" u="none" baseline="0"/>
            <a:t>Takashi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4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b41278e-b5a9-465d-a2f8-b6fe0a2ab07e}" type="TxLink">
            <a:rPr lang="en-US" cap="none" sz="800" b="0" i="1" u="none" baseline="0"/>
            <a:t>Avg:  .278
Bats:  Left
SB:  5/10/50%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4)'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1b2cbeb-ca4b-46c1-8023-c9aa3410ce3a}" type="TxLink">
            <a:rPr lang="en-US" cap="none" sz="1600" b="1" i="0" u="none" baseline="0"/>
            <a:t>TORITANI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4)'!$I$4">
      <cdr:nvSpPr>
        <cdr:cNvPr id="5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f61786ed-bca4-4cdd-b1f5-509901f623a5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4)'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94ea1a6-96c8-421a-83bb-e884d150620e}" type="TxLink">
            <a:rPr lang="en-US" cap="none" sz="1100" b="1" i="0" u="none" baseline="0"/>
            <a:t>Shortstop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4)'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877827e-38ff-4d61-b22c-27af6762d802}" type="TxLink">
            <a:rPr lang="en-US" cap="none" sz="1100" b="1" i="0" u="none" baseline="0"/>
            <a:t>3rd Base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5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45a76c1-c5da-408e-b58e-980167875b27}" type="TxLink">
            <a:rPr lang="en-US" cap="none" sz="1400" b="1" i="0" u="none" baseline="0"/>
            <a:t>Akihiro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5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f3bcbea-4dd7-4f12-a9bf-a97fc4b72871}" type="TxLink">
            <a:rPr lang="en-US" cap="none" sz="800" b="0" i="1" u="none" baseline="0"/>
            <a:t>Avg:  .271
Bats:  Right
SB:  1/2/50%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5)'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607529c-1a82-406c-a4ea-e10fe104ee6a}" type="TxLink">
            <a:rPr lang="en-US" cap="none" sz="1600" b="1" i="0" u="none" baseline="0"/>
            <a:t>YANO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5)'!$I$4">
      <cdr:nvSpPr>
        <cdr:cNvPr id="5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731e21c1-446a-49cc-8129-a3cab8493ebf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5)'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4d84584-6cee-45f9-bcba-2080a99d319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5)'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c071d77-0991-4c67-94f7-3f7fdae2aacb}" type="TxLink">
            <a:rPr lang="en-US" cap="none" sz="1100" b="1" i="0" u="none" baseline="0"/>
            <a:t>Catcher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0.256</cdr:y>
    </cdr:from>
    <cdr:to>
      <cdr:x>0.67075</cdr:x>
      <cdr:y>0.32175</cdr:y>
    </cdr:to>
    <cdr:sp textlink="Card!$I$2">
      <cdr:nvSpPr>
        <cdr:cNvPr id="1" name="Text 4"/>
        <cdr:cNvSpPr txBox="1">
          <a:spLocks noChangeArrowheads="1"/>
        </cdr:cNvSpPr>
      </cdr:nvSpPr>
      <cdr:spPr>
        <a:xfrm>
          <a:off x="1209675" y="1000125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4eba164-f902-49b9-ac48-e49b33a2d7f7}" type="TxLink">
            <a:rPr lang="en-US" cap="none" sz="1200" b="1" i="0" u="none" baseline="0"/>
            <a:t>Andy</a:t>
          </a:fld>
        </a:p>
      </cdr:txBody>
    </cdr:sp>
  </cdr:relSizeAnchor>
  <cdr:relSizeAnchor xmlns:cdr="http://schemas.openxmlformats.org/drawingml/2006/chartDrawing">
    <cdr:from>
      <cdr:x>0.42575</cdr:x>
      <cdr:y>0.40875</cdr:y>
    </cdr:from>
    <cdr:to>
      <cdr:x>0.43975</cdr:x>
      <cdr:y>0.4355</cdr:y>
    </cdr:to>
    <cdr:sp>
      <cdr:nvSpPr>
        <cdr:cNvPr id="2" name="Text 3"/>
        <cdr:cNvSpPr txBox="1">
          <a:spLocks noChangeArrowheads="1"/>
        </cdr:cNvSpPr>
      </cdr:nvSpPr>
      <cdr:spPr>
        <a:xfrm>
          <a:off x="1457325" y="1590675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0.3215</cdr:y>
    </cdr:from>
    <cdr:to>
      <cdr:x>0.7375</cdr:x>
      <cdr:y>0.3945</cdr:y>
    </cdr:to>
    <cdr:sp textlink="Card!$I$3">
      <cdr:nvSpPr>
        <cdr:cNvPr id="3" name="Text 4"/>
        <cdr:cNvSpPr txBox="1">
          <a:spLocks noChangeArrowheads="1"/>
        </cdr:cNvSpPr>
      </cdr:nvSpPr>
      <cdr:spPr>
        <a:xfrm>
          <a:off x="962025" y="1257300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0b9f65b-28f7-4354-aa5e-c2cf8bfdf8da}" type="TxLink">
            <a:rPr lang="en-US" cap="none" sz="1600" b="1" i="0" u="none" baseline="0"/>
            <a:t>SHEETS</a:t>
          </a:fld>
        </a:p>
      </cdr:txBody>
    </cdr:sp>
  </cdr:relSizeAnchor>
  <cdr:relSizeAnchor xmlns:cdr="http://schemas.openxmlformats.org/drawingml/2006/chartDrawing">
    <cdr:from>
      <cdr:x>0.282</cdr:x>
      <cdr:y>0.38925</cdr:y>
    </cdr:from>
    <cdr:to>
      <cdr:x>0.7375</cdr:x>
      <cdr:y>0.4355</cdr:y>
    </cdr:to>
    <cdr:sp textlink="Card!$I$4">
      <cdr:nvSpPr>
        <cdr:cNvPr id="4" name="Text 4"/>
        <cdr:cNvSpPr txBox="1">
          <a:spLocks noChangeArrowheads="1"/>
        </cdr:cNvSpPr>
      </cdr:nvSpPr>
      <cdr:spPr>
        <a:xfrm>
          <a:off x="962025" y="1514475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cc6dbfea-bac1-4a78-a0a6-da3c994f1dfa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0.314</cdr:x>
      <cdr:y>0.575</cdr:y>
    </cdr:from>
    <cdr:to>
      <cdr:x>0.7085</cdr:x>
      <cdr:y>0.61625</cdr:y>
    </cdr:to>
    <cdr:sp textlink="Card!$I$5">
      <cdr:nvSpPr>
        <cdr:cNvPr id="5" name="Text 4"/>
        <cdr:cNvSpPr txBox="1">
          <a:spLocks noChangeArrowheads="1"/>
        </cdr:cNvSpPr>
      </cdr:nvSpPr>
      <cdr:spPr>
        <a:xfrm>
          <a:off x="1076325" y="2247900"/>
          <a:ext cx="135255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9010067-a58f-4061-8e6d-167d9837490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0.3705</cdr:x>
      <cdr:y>0.63175</cdr:y>
    </cdr:from>
    <cdr:to>
      <cdr:x>0.651</cdr:x>
      <cdr:y>0.673</cdr:y>
    </cdr:to>
    <cdr:sp textlink="Card!$I$6">
      <cdr:nvSpPr>
        <cdr:cNvPr id="6" name="Text 4"/>
        <cdr:cNvSpPr txBox="1">
          <a:spLocks noChangeArrowheads="1"/>
        </cdr:cNvSpPr>
      </cdr:nvSpPr>
      <cdr:spPr>
        <a:xfrm>
          <a:off x="1266825" y="2466975"/>
          <a:ext cx="962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00a0c3f-8e64-459d-9e17-fad855f9597a}" type="TxLink">
            <a:rPr lang="en-US" cap="none" sz="1100" b="1" i="0" u="none" baseline="0"/>
            <a:t>Shortstop</a:t>
          </a:fld>
        </a:p>
      </cdr:txBody>
    </cdr:sp>
  </cdr:relSizeAnchor>
  <cdr:relSizeAnchor xmlns:cdr="http://schemas.openxmlformats.org/drawingml/2006/chartDrawing">
    <cdr:from>
      <cdr:x>0.31325</cdr:x>
      <cdr:y>0.435</cdr:y>
    </cdr:from>
    <cdr:to>
      <cdr:x>0.72425</cdr:x>
      <cdr:y>0.57375</cdr:y>
    </cdr:to>
    <cdr:sp textlink="Card!$I$7">
      <cdr:nvSpPr>
        <cdr:cNvPr id="7" name="Text 1"/>
        <cdr:cNvSpPr txBox="1">
          <a:spLocks noChangeArrowheads="1"/>
        </cdr:cNvSpPr>
      </cdr:nvSpPr>
      <cdr:spPr>
        <a:xfrm>
          <a:off x="1066800" y="1695450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47bc619-4d9d-47e3-83ca-abc01655f52c}" type="TxLink">
            <a:rPr lang="en-US" cap="none" sz="1000" b="1" i="1" u="none" baseline="0">
              <a:latin typeface="Arial"/>
              <a:ea typeface="Arial"/>
              <a:cs typeface="Arial"/>
            </a:rPr>
            <a:t>Avg:  .289
Bats:  Right
SB:  1/3/33%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0.25375</cdr:y>
    </cdr:from>
    <cdr:to>
      <cdr:x>0.667</cdr:x>
      <cdr:y>0.3195</cdr:y>
    </cdr:to>
    <cdr:sp textlink="'Card (2)'!$I$2">
      <cdr:nvSpPr>
        <cdr:cNvPr id="1" name="Text 4"/>
        <cdr:cNvSpPr txBox="1">
          <a:spLocks noChangeArrowheads="1"/>
        </cdr:cNvSpPr>
      </cdr:nvSpPr>
      <cdr:spPr>
        <a:xfrm>
          <a:off x="12192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6141fb7-76f1-48c8-9a2e-1c136f6a3487}" type="TxLink">
            <a:rPr lang="en-US" cap="none" sz="1200" b="1" i="0" u="none" baseline="0"/>
            <a:t>Shane</a:t>
          </a:fld>
        </a:p>
      </cdr:txBody>
    </cdr:sp>
  </cdr:relSizeAnchor>
  <cdr:relSizeAnchor xmlns:cdr="http://schemas.openxmlformats.org/drawingml/2006/chartDrawing">
    <cdr:from>
      <cdr:x>0.282</cdr:x>
      <cdr:y>0.31975</cdr:y>
    </cdr:from>
    <cdr:to>
      <cdr:x>0.7325</cdr:x>
      <cdr:y>0.39275</cdr:y>
    </cdr:to>
    <cdr:sp textlink="'Card (2)'!$I$3">
      <cdr:nvSpPr>
        <cdr:cNvPr id="2" name="Text 4"/>
        <cdr:cNvSpPr txBox="1">
          <a:spLocks noChangeArrowheads="1"/>
        </cdr:cNvSpPr>
      </cdr:nvSpPr>
      <cdr:spPr>
        <a:xfrm>
          <a:off x="971550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57bc991-b3ae-4e89-959f-eae4d4704c92}" type="TxLink">
            <a:rPr lang="en-US" cap="none" sz="1600" b="1" i="0" u="none" baseline="0"/>
            <a:t>SPENCER</a:t>
          </a:fld>
        </a:p>
      </cdr:txBody>
    </cdr:sp>
  </cdr:relSizeAnchor>
  <cdr:relSizeAnchor xmlns:cdr="http://schemas.openxmlformats.org/drawingml/2006/chartDrawing">
    <cdr:from>
      <cdr:x>0.282</cdr:x>
      <cdr:y>0.3885</cdr:y>
    </cdr:from>
    <cdr:to>
      <cdr:x>0.7325</cdr:x>
      <cdr:y>0.43475</cdr:y>
    </cdr:to>
    <cdr:sp textlink="'Card (2)'!$I$4">
      <cdr:nvSpPr>
        <cdr:cNvPr id="3" name="Text 4"/>
        <cdr:cNvSpPr txBox="1">
          <a:spLocks noChangeArrowheads="1"/>
        </cdr:cNvSpPr>
      </cdr:nvSpPr>
      <cdr:spPr>
        <a:xfrm>
          <a:off x="971550" y="1514475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937549e0-52fe-456b-b5c6-acbcb808a4d8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0.313</cdr:x>
      <cdr:y>0.57475</cdr:y>
    </cdr:from>
    <cdr:to>
      <cdr:x>0.703</cdr:x>
      <cdr:y>0.616</cdr:y>
    </cdr:to>
    <cdr:sp textlink="'Card (2)'!$I$5">
      <cdr:nvSpPr>
        <cdr:cNvPr id="4" name="Text 4"/>
        <cdr:cNvSpPr txBox="1">
          <a:spLocks noChangeArrowheads="1"/>
        </cdr:cNvSpPr>
      </cdr:nvSpPr>
      <cdr:spPr>
        <a:xfrm>
          <a:off x="1076325" y="2247900"/>
          <a:ext cx="135255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17796a8-98b8-43a7-b3a1-efb0b8929c8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0.36925</cdr:x>
      <cdr:y>0.63225</cdr:y>
    </cdr:from>
    <cdr:to>
      <cdr:x>0.644</cdr:x>
      <cdr:y>0.6735</cdr:y>
    </cdr:to>
    <cdr:sp textlink="'Card (2)'!$I$6">
      <cdr:nvSpPr>
        <cdr:cNvPr id="5" name="Text 4"/>
        <cdr:cNvSpPr txBox="1">
          <a:spLocks noChangeArrowheads="1"/>
        </cdr:cNvSpPr>
      </cdr:nvSpPr>
      <cdr:spPr>
        <a:xfrm>
          <a:off x="1276350" y="2466975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121d314-c4da-4053-a33a-99aaa059cb49}" type="TxLink">
            <a:rPr lang="en-US" cap="none" sz="1100" b="1" i="0" u="none" baseline="0"/>
            <a:t>Outfield</a:t>
          </a:fld>
        </a:p>
      </cdr:txBody>
    </cdr:sp>
  </cdr:relSizeAnchor>
  <cdr:relSizeAnchor xmlns:cdr="http://schemas.openxmlformats.org/drawingml/2006/chartDrawing">
    <cdr:from>
      <cdr:x>0.313</cdr:x>
      <cdr:y>0.43575</cdr:y>
    </cdr:from>
    <cdr:to>
      <cdr:x>0.7195</cdr:x>
      <cdr:y>0.5745</cdr:y>
    </cdr:to>
    <cdr:sp textlink="'Card (2)'!$I$7">
      <cdr:nvSpPr>
        <cdr:cNvPr id="6" name="Text 1"/>
        <cdr:cNvSpPr txBox="1">
          <a:spLocks noChangeArrowheads="1"/>
        </cdr:cNvSpPr>
      </cdr:nvSpPr>
      <cdr:spPr>
        <a:xfrm>
          <a:off x="1076325" y="1704975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881cd5b-8d60-4d8f-a092-c7d12093d03a}" type="TxLink">
            <a:rPr lang="en-US" cap="none" sz="1000" b="1" i="1" u="none" baseline="0">
              <a:latin typeface="Arial"/>
              <a:ea typeface="Arial"/>
              <a:cs typeface="Arial"/>
            </a:rPr>
            <a:t>Avg:  .243
Bats:  Right
SB:  0/1/0%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4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37dfb0c-9969-4ac1-bd00-151b5ab0ee8a}" type="TxLink">
            <a:rPr lang="en-US" cap="none" sz="1200" b="1" i="0" u="none" baseline="0"/>
            <a:t>Takashi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2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4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ffee759-2178-4a69-8eb2-a61cf319afbe}" type="TxLink">
            <a:rPr lang="en-US" cap="none" sz="1600" b="1" i="0" u="none" baseline="0"/>
            <a:t>TORITANI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4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2bfa5f84-a9e0-4d5c-85c8-5eb509f80e2c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0.318</cdr:x>
      <cdr:y>0.57975</cdr:y>
    </cdr:from>
    <cdr:to>
      <cdr:x>0.698</cdr:x>
      <cdr:y>0.621</cdr:y>
    </cdr:to>
    <cdr:sp textlink="'Card (4)'!$I$5">
      <cdr:nvSpPr>
        <cdr:cNvPr id="5" name="Text 4"/>
        <cdr:cNvSpPr txBox="1">
          <a:spLocks noChangeArrowheads="1"/>
        </cdr:cNvSpPr>
      </cdr:nvSpPr>
      <cdr:spPr>
        <a:xfrm>
          <a:off x="1114425" y="2266950"/>
          <a:ext cx="1343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8d46b0a-67c5-4dca-a98b-95db1f7400f6}" type="TxLink">
            <a:rPr lang="en-US" cap="none" sz="1100" b="1" i="0" u="none" baseline="0"/>
            <a:t>Shortstop</a:t>
          </a:fld>
        </a:p>
      </cdr:txBody>
    </cdr:sp>
  </cdr:relSizeAnchor>
  <cdr:relSizeAnchor xmlns:cdr="http://schemas.openxmlformats.org/drawingml/2006/chartDrawing">
    <cdr:from>
      <cdr:x>0.3705</cdr:x>
      <cdr:y>0.634</cdr:y>
    </cdr:from>
    <cdr:to>
      <cdr:x>0.64</cdr:x>
      <cdr:y>0.67525</cdr:y>
    </cdr:to>
    <cdr:sp textlink="'Card (4)'!$I$6">
      <cdr:nvSpPr>
        <cdr:cNvPr id="6" name="Text 4"/>
        <cdr:cNvSpPr txBox="1">
          <a:spLocks noChangeArrowheads="1"/>
        </cdr:cNvSpPr>
      </cdr:nvSpPr>
      <cdr:spPr>
        <a:xfrm>
          <a:off x="1304925" y="2476500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056ee0b-26df-412a-85eb-cc6df46c7441}" type="TxLink">
            <a:rPr lang="en-US" cap="none" sz="1100" b="1" i="0" u="none" baseline="0"/>
            <a:t>3rd Base</a:t>
          </a:fld>
        </a:p>
      </cdr:txBody>
    </cdr:sp>
  </cdr:relSizeAnchor>
  <cdr:relSizeAnchor xmlns:cdr="http://schemas.openxmlformats.org/drawingml/2006/chartDrawing">
    <cdr:from>
      <cdr:x>0.318</cdr:x>
      <cdr:y>0.435</cdr:y>
    </cdr:from>
    <cdr:to>
      <cdr:x>0.717</cdr:x>
      <cdr:y>0.5785</cdr:y>
    </cdr:to>
    <cdr:sp textlink="'Card (4)'!$I$7">
      <cdr:nvSpPr>
        <cdr:cNvPr id="7" name="Text 1"/>
        <cdr:cNvSpPr txBox="1">
          <a:spLocks noChangeArrowheads="1"/>
        </cdr:cNvSpPr>
      </cdr:nvSpPr>
      <cdr:spPr>
        <a:xfrm>
          <a:off x="1114425" y="1695450"/>
          <a:ext cx="140970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5dbb2a3-73e2-4846-9c00-62cd0ca960b8}" type="TxLink">
            <a:rPr lang="en-US" cap="none" sz="1000" b="1" i="1" u="none" baseline="0">
              <a:latin typeface="Arial"/>
              <a:ea typeface="Arial"/>
              <a:cs typeface="Arial"/>
            </a:rPr>
            <a:t>Avg:  .278
Bats:  Left
SB:  5/10/50%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5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92339c1-17d7-4037-b0c0-589ca8878289}" type="TxLink">
            <a:rPr lang="en-US" cap="none" sz="1200" b="1" i="0" u="none" baseline="0"/>
            <a:t>Akihiro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2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5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abc1cef-ee4c-4147-af9a-6344dea31a8d}" type="TxLink">
            <a:rPr lang="en-US" cap="none" sz="1600" b="1" i="0" u="none" baseline="0"/>
            <a:t>YANO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5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52290560-3ebb-4d99-ba1b-dc5ed89f8440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0.318</cdr:x>
      <cdr:y>0.5745</cdr:y>
    </cdr:from>
    <cdr:to>
      <cdr:x>0.698</cdr:x>
      <cdr:y>0.61575</cdr:y>
    </cdr:to>
    <cdr:sp textlink="'Card (5)'!$I$5">
      <cdr:nvSpPr>
        <cdr:cNvPr id="5" name="Text 4"/>
        <cdr:cNvSpPr txBox="1">
          <a:spLocks noChangeArrowheads="1"/>
        </cdr:cNvSpPr>
      </cdr:nvSpPr>
      <cdr:spPr>
        <a:xfrm>
          <a:off x="1114425" y="2247900"/>
          <a:ext cx="1343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342a2a9-d03b-4dea-833b-7f175ceb832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0.3735</cdr:x>
      <cdr:y>0.634</cdr:y>
    </cdr:from>
    <cdr:to>
      <cdr:x>0.643</cdr:x>
      <cdr:y>0.67525</cdr:y>
    </cdr:to>
    <cdr:sp textlink="'Card (5)'!$I$6">
      <cdr:nvSpPr>
        <cdr:cNvPr id="6" name="Text 4"/>
        <cdr:cNvSpPr txBox="1">
          <a:spLocks noChangeArrowheads="1"/>
        </cdr:cNvSpPr>
      </cdr:nvSpPr>
      <cdr:spPr>
        <a:xfrm>
          <a:off x="1314450" y="2476500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929eae1-4095-49bb-91b0-1082d9207282}" type="TxLink">
            <a:rPr lang="en-US" cap="none" sz="1100" b="1" i="0" u="none" baseline="0"/>
            <a:t>Catcher</a:t>
          </a:fld>
        </a:p>
      </cdr:txBody>
    </cdr:sp>
  </cdr:relSizeAnchor>
  <cdr:relSizeAnchor xmlns:cdr="http://schemas.openxmlformats.org/drawingml/2006/chartDrawing">
    <cdr:from>
      <cdr:x>0.318</cdr:x>
      <cdr:y>0.435</cdr:y>
    </cdr:from>
    <cdr:to>
      <cdr:x>0.717</cdr:x>
      <cdr:y>0.57375</cdr:y>
    </cdr:to>
    <cdr:sp textlink="'Card (5)'!$I$7">
      <cdr:nvSpPr>
        <cdr:cNvPr id="7" name="Text 1"/>
        <cdr:cNvSpPr txBox="1">
          <a:spLocks noChangeArrowheads="1"/>
        </cdr:cNvSpPr>
      </cdr:nvSpPr>
      <cdr:spPr>
        <a:xfrm>
          <a:off x="1114425" y="1695450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5750026-b899-401c-a1a9-d6882c2c9b93}" type="TxLink">
            <a:rPr lang="en-US" cap="none" sz="1000" b="1" i="1" u="none" baseline="0">
              <a:latin typeface="Arial"/>
              <a:ea typeface="Arial"/>
              <a:cs typeface="Arial"/>
            </a:rPr>
            <a:t>Avg:  .271
Bats:  Right
SB:  1/2/50%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11</xdr:row>
      <xdr:rowOff>104775</xdr:rowOff>
    </xdr:from>
    <xdr:to>
      <xdr:col>11</xdr:col>
      <xdr:colOff>238125</xdr:colOff>
      <xdr:row>35</xdr:row>
      <xdr:rowOff>133350</xdr:rowOff>
    </xdr:to>
    <xdr:graphicFrame>
      <xdr:nvGraphicFramePr>
        <xdr:cNvPr id="1" name="Chart 4"/>
        <xdr:cNvGraphicFramePr/>
      </xdr:nvGraphicFramePr>
      <xdr:xfrm>
        <a:off x="2800350" y="1895475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66675</xdr:rowOff>
    </xdr:from>
    <xdr:to>
      <xdr:col>6</xdr:col>
      <xdr:colOff>381000</xdr:colOff>
      <xdr:row>25</xdr:row>
      <xdr:rowOff>85725</xdr:rowOff>
    </xdr:to>
    <xdr:graphicFrame>
      <xdr:nvGraphicFramePr>
        <xdr:cNvPr id="2" name="Chart 5"/>
        <xdr:cNvGraphicFramePr/>
      </xdr:nvGraphicFramePr>
      <xdr:xfrm>
        <a:off x="0" y="228600"/>
        <a:ext cx="34290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6</xdr:col>
      <xdr:colOff>419100</xdr:colOff>
      <xdr:row>46</xdr:row>
      <xdr:rowOff>114300</xdr:rowOff>
    </xdr:to>
    <xdr:graphicFrame>
      <xdr:nvGraphicFramePr>
        <xdr:cNvPr id="3" name="Chart 6"/>
        <xdr:cNvGraphicFramePr/>
      </xdr:nvGraphicFramePr>
      <xdr:xfrm>
        <a:off x="0" y="3657600"/>
        <a:ext cx="34671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1</xdr:row>
      <xdr:rowOff>38100</xdr:rowOff>
    </xdr:from>
    <xdr:to>
      <xdr:col>16</xdr:col>
      <xdr:colOff>85725</xdr:colOff>
      <xdr:row>25</xdr:row>
      <xdr:rowOff>57150</xdr:rowOff>
    </xdr:to>
    <xdr:graphicFrame>
      <xdr:nvGraphicFramePr>
        <xdr:cNvPr id="4" name="Chart 7"/>
        <xdr:cNvGraphicFramePr/>
      </xdr:nvGraphicFramePr>
      <xdr:xfrm>
        <a:off x="5695950" y="200025"/>
        <a:ext cx="353377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209550</xdr:colOff>
      <xdr:row>22</xdr:row>
      <xdr:rowOff>9525</xdr:rowOff>
    </xdr:from>
    <xdr:to>
      <xdr:col>16</xdr:col>
      <xdr:colOff>85725</xdr:colOff>
      <xdr:row>46</xdr:row>
      <xdr:rowOff>38100</xdr:rowOff>
    </xdr:to>
    <xdr:graphicFrame>
      <xdr:nvGraphicFramePr>
        <xdr:cNvPr id="5" name="Chart 8"/>
        <xdr:cNvGraphicFramePr/>
      </xdr:nvGraphicFramePr>
      <xdr:xfrm>
        <a:off x="5695950" y="3581400"/>
        <a:ext cx="353377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Card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d54d938-7e99-4c38-b257-6eccda87b0dc}" type="TxLink">
            <a:rPr lang="en-US" cap="none" sz="1400" b="1" i="0" u="none" baseline="0"/>
            <a:t>Andy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Card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b0fff88-0228-4f95-80e6-c2b656c1582d}" type="TxLink">
            <a:rPr lang="en-US" cap="none" sz="800" b="0" i="1" u="none" baseline="0"/>
            <a:t>Avg:  .289
Bats:  Right
SB:  1/3/33%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Card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f9f1bce-49b8-4885-8047-2eaeda249a7d}" type="TxLink">
            <a:rPr lang="en-US" cap="none" sz="1600" b="1" i="0" u="none" baseline="0"/>
            <a:t>SHEETS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Card!$I$4">
      <cdr:nvSpPr>
        <cdr:cNvPr id="5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de2f7261-480c-4f68-8138-e5ece5e9a4de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Card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fd94468-6e85-42d2-86ca-15e350fcefc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Card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e648d83-e1b9-4afb-8b55-e62e830fd547}" type="TxLink">
            <a:rPr lang="en-US" cap="none" sz="1100" b="1" i="0" u="none" baseline="0"/>
            <a:t>Shortstop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2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744d954-f867-4b0c-85b2-dfec365223e8}" type="TxLink">
            <a:rPr lang="en-US" cap="none" sz="1400" b="1" i="0" u="none" baseline="0"/>
            <a:t>Shane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2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5ff8582-4771-4a15-a332-3967b82c1e5b}" type="TxLink">
            <a:rPr lang="en-US" cap="none" sz="800" b="0" i="1" u="none" baseline="0">
              <a:latin typeface="Arial"/>
              <a:ea typeface="Arial"/>
              <a:cs typeface="Arial"/>
            </a:rPr>
            <a:t>Avg:  .243
Bats:  Right
SB:  0/1/0%</a:t>
          </a:fld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2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19e6ac6-f7c7-4ec8-8229-aa67a79aa09c}" type="TxLink">
            <a:rPr lang="en-US" cap="none" sz="1600" b="1" i="0" u="none" baseline="0"/>
            <a:t>SPENCER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2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3e3169b0-9050-4612-81f0-380f8d7b68d9}" type="TxLink">
            <a:rPr lang="en-US" cap="none" sz="1000" b="1" i="0" u="none" baseline="0"/>
            <a:t>Hanshin (CL) 2005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2)'!$I$5">
      <cdr:nvSpPr>
        <cdr:cNvPr id="5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98b9ba6-b3d4-4680-9ae9-2cfa4db4d57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2)'!$I$6">
      <cdr:nvSpPr>
        <cdr:cNvPr id="6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4442ff1-105b-4756-9cd0-b0635089d69d}" type="TxLink">
            <a:rPr lang="en-US" cap="none" sz="1100" b="1" i="0" u="none" baseline="0"/>
            <a:t>Outfield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workbookViewId="0" topLeftCell="A37">
      <selection activeCell="B55" sqref="B55"/>
    </sheetView>
  </sheetViews>
  <sheetFormatPr defaultColWidth="9.140625" defaultRowHeight="12.75"/>
  <cols>
    <col min="1" max="1" width="47.7109375" style="0" bestFit="1" customWidth="1"/>
    <col min="2" max="2" width="9.421875" style="30" customWidth="1"/>
    <col min="3" max="3" width="14.57421875" style="10" bestFit="1" customWidth="1"/>
    <col min="5" max="5" width="12.28125" style="0" bestFit="1" customWidth="1"/>
  </cols>
  <sheetData>
    <row r="1" ht="7.5" customHeight="1"/>
    <row r="2" spans="1:5" ht="12.75">
      <c r="A2" s="31" t="s">
        <v>55</v>
      </c>
      <c r="B2" s="32"/>
      <c r="C2" s="33"/>
      <c r="D2" s="34"/>
      <c r="E2" s="35"/>
    </row>
    <row r="3" spans="1:5" ht="12.75">
      <c r="A3" s="36"/>
      <c r="B3" s="37"/>
      <c r="C3" s="38"/>
      <c r="D3" s="39"/>
      <c r="E3" s="40"/>
    </row>
    <row r="4" spans="1:5" ht="12.75">
      <c r="A4" s="36" t="s">
        <v>47</v>
      </c>
      <c r="B4" s="37"/>
      <c r="C4" s="41" t="s">
        <v>53</v>
      </c>
      <c r="D4" s="39" t="s">
        <v>54</v>
      </c>
      <c r="E4" s="40"/>
    </row>
    <row r="5" spans="1:5" ht="12.75">
      <c r="A5" s="36" t="s">
        <v>50</v>
      </c>
      <c r="B5" s="42">
        <v>1</v>
      </c>
      <c r="C5" s="43">
        <v>0.1</v>
      </c>
      <c r="D5" s="39"/>
      <c r="E5" s="40"/>
    </row>
    <row r="6" spans="1:5" ht="12.75">
      <c r="A6" s="36" t="s">
        <v>51</v>
      </c>
      <c r="B6" s="42">
        <v>1</v>
      </c>
      <c r="C6" s="43">
        <v>0.045</v>
      </c>
      <c r="D6" s="39"/>
      <c r="E6" s="40"/>
    </row>
    <row r="7" spans="1:5" ht="12.75">
      <c r="A7" s="36"/>
      <c r="B7" s="44"/>
      <c r="C7" s="43"/>
      <c r="D7" s="39"/>
      <c r="E7" s="40"/>
    </row>
    <row r="8" spans="1:5" ht="12.75">
      <c r="A8" s="36" t="s">
        <v>48</v>
      </c>
      <c r="B8" s="44"/>
      <c r="C8" s="43"/>
      <c r="D8" s="39"/>
      <c r="E8" s="40"/>
    </row>
    <row r="9" spans="1:5" ht="12.75">
      <c r="A9" s="36" t="s">
        <v>52</v>
      </c>
      <c r="B9" s="42">
        <v>1</v>
      </c>
      <c r="C9" s="43">
        <v>0.09</v>
      </c>
      <c r="D9" s="39"/>
      <c r="E9" s="40"/>
    </row>
    <row r="10" spans="1:5" ht="12.75">
      <c r="A10" s="36"/>
      <c r="B10" s="37"/>
      <c r="C10" s="38"/>
      <c r="D10" s="39"/>
      <c r="E10" s="40"/>
    </row>
    <row r="11" spans="1:5" ht="12.75">
      <c r="A11" s="45" t="s">
        <v>49</v>
      </c>
      <c r="B11" s="46"/>
      <c r="C11" s="47"/>
      <c r="D11" s="48"/>
      <c r="E11" s="49"/>
    </row>
    <row r="12" ht="12.75" customHeight="1"/>
    <row r="13" spans="1:3" ht="12.75">
      <c r="A13" s="50" t="s">
        <v>60</v>
      </c>
      <c r="B13" s="32"/>
      <c r="C13" s="52" t="s">
        <v>58</v>
      </c>
    </row>
    <row r="14" spans="1:3" ht="33.75">
      <c r="A14" s="51" t="s">
        <v>57</v>
      </c>
      <c r="B14" s="53">
        <v>1</v>
      </c>
      <c r="C14" s="54">
        <v>1</v>
      </c>
    </row>
    <row r="16" spans="1:3" ht="12.75">
      <c r="A16" s="50" t="s">
        <v>59</v>
      </c>
      <c r="B16" s="32"/>
      <c r="C16" s="52" t="s">
        <v>58</v>
      </c>
    </row>
    <row r="17" spans="1:3" ht="12.75">
      <c r="A17" s="36" t="s">
        <v>61</v>
      </c>
      <c r="B17" s="42">
        <v>0.25</v>
      </c>
      <c r="C17" s="55">
        <v>0.333</v>
      </c>
    </row>
    <row r="18" spans="1:3" ht="12.75">
      <c r="A18" s="36" t="s">
        <v>62</v>
      </c>
      <c r="B18" s="42">
        <v>0.415</v>
      </c>
      <c r="C18" s="55">
        <v>0.333</v>
      </c>
    </row>
    <row r="19" spans="1:3" ht="12.75">
      <c r="A19" s="36" t="s">
        <v>63</v>
      </c>
      <c r="B19" s="42">
        <v>0.335</v>
      </c>
      <c r="C19" s="55">
        <v>0.334</v>
      </c>
    </row>
    <row r="20" spans="1:3" ht="12.75">
      <c r="A20" s="56" t="s">
        <v>64</v>
      </c>
      <c r="B20" s="57">
        <f>SUM(B17:B19)</f>
        <v>1</v>
      </c>
      <c r="C20" s="58" t="str">
        <f>IF(B20=1,"&lt;-OK","&lt;-NOT OK")</f>
        <v>&lt;-OK</v>
      </c>
    </row>
    <row r="22" spans="1:3" ht="12.75">
      <c r="A22" s="50" t="s">
        <v>65</v>
      </c>
      <c r="B22" s="32"/>
      <c r="C22" s="52" t="s">
        <v>58</v>
      </c>
    </row>
    <row r="23" spans="1:3" ht="12.75">
      <c r="A23" s="36" t="s">
        <v>66</v>
      </c>
      <c r="B23" s="42">
        <v>0.05</v>
      </c>
      <c r="C23" s="55">
        <v>0.25</v>
      </c>
    </row>
    <row r="24" spans="1:3" ht="12.75">
      <c r="A24" s="36" t="s">
        <v>67</v>
      </c>
      <c r="B24" s="42">
        <v>0.15</v>
      </c>
      <c r="C24" s="55">
        <v>0.25</v>
      </c>
    </row>
    <row r="25" spans="1:3" ht="12.75">
      <c r="A25" s="36" t="s">
        <v>68</v>
      </c>
      <c r="B25" s="42">
        <v>0.3</v>
      </c>
      <c r="C25" s="55">
        <v>0.25</v>
      </c>
    </row>
    <row r="26" spans="1:3" ht="12.75">
      <c r="A26" s="36" t="s">
        <v>69</v>
      </c>
      <c r="B26" s="42">
        <v>0.5</v>
      </c>
      <c r="C26" s="55">
        <v>0.25</v>
      </c>
    </row>
    <row r="27" spans="1:3" ht="12.75">
      <c r="A27" s="56" t="s">
        <v>64</v>
      </c>
      <c r="B27" s="57">
        <f>SUM(B23:B26)</f>
        <v>1</v>
      </c>
      <c r="C27" s="58" t="str">
        <f>IF(B27=1,"&lt;-OK","&lt;-NOT OK")</f>
        <v>&lt;-OK</v>
      </c>
    </row>
    <row r="29" spans="1:3" ht="12.75">
      <c r="A29" s="50" t="s">
        <v>71</v>
      </c>
      <c r="B29" s="32"/>
      <c r="C29" s="52" t="s">
        <v>58</v>
      </c>
    </row>
    <row r="30" spans="1:3" ht="12.75">
      <c r="A30" s="36" t="s">
        <v>72</v>
      </c>
      <c r="B30" s="42">
        <v>0.25</v>
      </c>
      <c r="C30" s="55">
        <v>0.5</v>
      </c>
    </row>
    <row r="31" spans="1:3" ht="12.75">
      <c r="A31" s="36" t="s">
        <v>73</v>
      </c>
      <c r="B31" s="42">
        <v>0.75</v>
      </c>
      <c r="C31" s="55">
        <v>0.5</v>
      </c>
    </row>
    <row r="32" spans="1:3" ht="12.75">
      <c r="A32" s="56" t="s">
        <v>64</v>
      </c>
      <c r="B32" s="57">
        <f>SUM(B30:B31)</f>
        <v>1</v>
      </c>
      <c r="C32" s="58" t="str">
        <f>IF(B32=1,"&lt;-OK","&lt;-NOT OK")</f>
        <v>&lt;-OK</v>
      </c>
    </row>
    <row r="34" spans="1:5" ht="12.75">
      <c r="A34" s="50" t="s">
        <v>114</v>
      </c>
      <c r="B34" s="32"/>
      <c r="C34" s="33"/>
      <c r="D34" s="34"/>
      <c r="E34" s="35"/>
    </row>
    <row r="35" spans="1:5" ht="12.75">
      <c r="A35" s="36" t="s">
        <v>88</v>
      </c>
      <c r="B35" s="62" t="s">
        <v>90</v>
      </c>
      <c r="C35" s="41" t="s">
        <v>89</v>
      </c>
      <c r="D35" s="38" t="s">
        <v>91</v>
      </c>
      <c r="E35" s="40" t="s">
        <v>99</v>
      </c>
    </row>
    <row r="36" spans="1:5" ht="12.75">
      <c r="A36" s="36" t="s">
        <v>74</v>
      </c>
      <c r="B36" s="63">
        <v>1</v>
      </c>
      <c r="C36" s="38">
        <v>1</v>
      </c>
      <c r="D36" s="67" t="s">
        <v>113</v>
      </c>
      <c r="E36" s="65">
        <v>1</v>
      </c>
    </row>
    <row r="37" spans="1:5" ht="12.75">
      <c r="A37" s="36" t="s">
        <v>75</v>
      </c>
      <c r="B37" s="63">
        <v>7</v>
      </c>
      <c r="C37" s="38">
        <v>3</v>
      </c>
      <c r="D37" s="67" t="s">
        <v>112</v>
      </c>
      <c r="E37" s="65">
        <v>2</v>
      </c>
    </row>
    <row r="38" spans="1:5" ht="12.75">
      <c r="A38" s="36" t="s">
        <v>76</v>
      </c>
      <c r="B38" s="63">
        <v>13</v>
      </c>
      <c r="C38" s="38">
        <v>18</v>
      </c>
      <c r="D38" s="67" t="s">
        <v>111</v>
      </c>
      <c r="E38" s="65">
        <v>3</v>
      </c>
    </row>
    <row r="39" spans="1:5" ht="12.75">
      <c r="A39" s="36" t="s">
        <v>77</v>
      </c>
      <c r="B39" s="63">
        <v>9</v>
      </c>
      <c r="C39" s="38">
        <v>15</v>
      </c>
      <c r="D39" s="67" t="s">
        <v>110</v>
      </c>
      <c r="E39" s="65">
        <v>4</v>
      </c>
    </row>
    <row r="40" spans="1:5" ht="12.75">
      <c r="A40" s="36" t="s">
        <v>78</v>
      </c>
      <c r="B40" s="63">
        <v>10</v>
      </c>
      <c r="C40" s="38">
        <v>4</v>
      </c>
      <c r="D40" s="67" t="s">
        <v>109</v>
      </c>
      <c r="E40" s="65">
        <v>5</v>
      </c>
    </row>
    <row r="41" spans="1:5" ht="12.75">
      <c r="A41" s="36" t="s">
        <v>79</v>
      </c>
      <c r="B41" s="63">
        <v>4</v>
      </c>
      <c r="C41" s="38">
        <v>13</v>
      </c>
      <c r="D41" s="67" t="s">
        <v>108</v>
      </c>
      <c r="E41" s="65">
        <v>6</v>
      </c>
    </row>
    <row r="42" spans="1:5" ht="12.75">
      <c r="A42" s="36" t="s">
        <v>80</v>
      </c>
      <c r="B42" s="63">
        <v>3</v>
      </c>
      <c r="C42" s="38">
        <v>14</v>
      </c>
      <c r="D42" s="67" t="s">
        <v>107</v>
      </c>
      <c r="E42" s="65">
        <v>7</v>
      </c>
    </row>
    <row r="43" spans="1:5" ht="12.75">
      <c r="A43" s="36" t="s">
        <v>81</v>
      </c>
      <c r="B43" s="63">
        <v>14</v>
      </c>
      <c r="C43" s="38">
        <v>5</v>
      </c>
      <c r="D43" s="67" t="s">
        <v>106</v>
      </c>
      <c r="E43" s="65">
        <v>8</v>
      </c>
    </row>
    <row r="44" spans="1:5" ht="12.75">
      <c r="A44" s="36" t="s">
        <v>82</v>
      </c>
      <c r="B44" s="63">
        <v>8</v>
      </c>
      <c r="C44" s="38">
        <v>8</v>
      </c>
      <c r="D44" s="67" t="s">
        <v>105</v>
      </c>
      <c r="E44" s="65">
        <v>9</v>
      </c>
    </row>
    <row r="45" spans="1:5" ht="12.75">
      <c r="A45" s="36" t="s">
        <v>83</v>
      </c>
      <c r="B45" s="63">
        <v>15</v>
      </c>
      <c r="C45" s="38">
        <v>17</v>
      </c>
      <c r="D45" s="67" t="s">
        <v>105</v>
      </c>
      <c r="E45" s="65">
        <v>9</v>
      </c>
    </row>
    <row r="46" spans="1:5" ht="12.75">
      <c r="A46" s="36" t="s">
        <v>84</v>
      </c>
      <c r="B46" s="63">
        <v>2</v>
      </c>
      <c r="C46" s="38">
        <v>2</v>
      </c>
      <c r="D46" s="67" t="s">
        <v>104</v>
      </c>
      <c r="E46" s="65">
        <v>10</v>
      </c>
    </row>
    <row r="47" spans="1:5" ht="12.75">
      <c r="A47" s="36" t="s">
        <v>85</v>
      </c>
      <c r="B47" s="63">
        <v>16</v>
      </c>
      <c r="C47" s="38">
        <v>9</v>
      </c>
      <c r="D47" s="67" t="s">
        <v>104</v>
      </c>
      <c r="E47" s="65">
        <v>10</v>
      </c>
    </row>
    <row r="48" spans="1:5" ht="12.75">
      <c r="A48" s="36" t="s">
        <v>86</v>
      </c>
      <c r="B48" s="63">
        <v>17</v>
      </c>
      <c r="C48" s="38">
        <v>16</v>
      </c>
      <c r="D48" s="67" t="s">
        <v>104</v>
      </c>
      <c r="E48" s="65">
        <v>10</v>
      </c>
    </row>
    <row r="49" spans="1:5" ht="12.75">
      <c r="A49" s="36" t="s">
        <v>87</v>
      </c>
      <c r="B49" s="63">
        <v>5</v>
      </c>
      <c r="C49" s="38">
        <v>12</v>
      </c>
      <c r="D49" s="67" t="s">
        <v>103</v>
      </c>
      <c r="E49" s="65">
        <v>11</v>
      </c>
    </row>
    <row r="50" spans="1:5" ht="12.75">
      <c r="A50" s="36" t="s">
        <v>92</v>
      </c>
      <c r="B50" s="63">
        <v>11</v>
      </c>
      <c r="C50" s="38">
        <v>7</v>
      </c>
      <c r="D50" s="67" t="s">
        <v>102</v>
      </c>
      <c r="E50" s="65">
        <v>12</v>
      </c>
    </row>
    <row r="51" spans="1:5" ht="12.75">
      <c r="A51" s="36" t="s">
        <v>93</v>
      </c>
      <c r="B51" s="63">
        <v>12</v>
      </c>
      <c r="C51" s="38">
        <v>6</v>
      </c>
      <c r="D51" s="67" t="s">
        <v>101</v>
      </c>
      <c r="E51" s="65">
        <v>13</v>
      </c>
    </row>
    <row r="52" spans="1:5" ht="12.75">
      <c r="A52" s="36" t="s">
        <v>94</v>
      </c>
      <c r="B52" s="63">
        <v>6</v>
      </c>
      <c r="C52" s="38">
        <v>11</v>
      </c>
      <c r="D52" s="67" t="s">
        <v>100</v>
      </c>
      <c r="E52" s="65">
        <v>14</v>
      </c>
    </row>
    <row r="53" spans="1:5" ht="12.75">
      <c r="A53" s="45" t="s">
        <v>95</v>
      </c>
      <c r="B53" s="64">
        <v>18</v>
      </c>
      <c r="C53" s="47">
        <v>10</v>
      </c>
      <c r="D53" s="68" t="s">
        <v>116</v>
      </c>
      <c r="E53" s="66" t="s">
        <v>96</v>
      </c>
    </row>
    <row r="54" spans="1:4" ht="12.75">
      <c r="A54" s="69" t="s">
        <v>115</v>
      </c>
      <c r="D54" s="10"/>
    </row>
    <row r="55" ht="12.75">
      <c r="D55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2"/>
  <sheetViews>
    <sheetView workbookViewId="0" topLeftCell="A1">
      <pane xSplit="1" ySplit="2" topLeftCell="B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3" sqref="B103"/>
    </sheetView>
  </sheetViews>
  <sheetFormatPr defaultColWidth="9.140625" defaultRowHeight="12.75"/>
  <cols>
    <col min="1" max="1" width="7.140625" style="0" bestFit="1" customWidth="1"/>
    <col min="2" max="2" width="12.8515625" style="0" customWidth="1"/>
    <col min="3" max="3" width="14.8515625" style="0" customWidth="1"/>
    <col min="4" max="4" width="13.8515625" style="0" bestFit="1" customWidth="1"/>
    <col min="5" max="5" width="14.57421875" style="0" customWidth="1"/>
    <col min="6" max="6" width="11.7109375" style="0" customWidth="1"/>
    <col min="7" max="7" width="4.7109375" style="0" customWidth="1"/>
    <col min="8" max="8" width="5.0039062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140625" style="0" customWidth="1"/>
    <col min="14" max="14" width="6.421875" style="0" customWidth="1"/>
    <col min="15" max="15" width="24.7109375" style="0" customWidth="1"/>
    <col min="16" max="16384" width="5.8515625" style="0" customWidth="1"/>
  </cols>
  <sheetData>
    <row r="1" spans="2:15" ht="12.75">
      <c r="B1" s="23" t="s">
        <v>0</v>
      </c>
      <c r="C1" s="1"/>
      <c r="D1" s="1"/>
      <c r="E1" s="23" t="s">
        <v>1</v>
      </c>
      <c r="F1" s="1"/>
      <c r="G1" s="1"/>
      <c r="H1" s="1"/>
      <c r="I1" s="1"/>
      <c r="J1" s="1"/>
      <c r="K1" s="1"/>
      <c r="L1" s="1"/>
      <c r="M1" s="1"/>
      <c r="N1" s="28" t="s">
        <v>44</v>
      </c>
      <c r="O1" s="23" t="s">
        <v>42</v>
      </c>
    </row>
    <row r="2" spans="1:15" ht="12.75">
      <c r="A2" s="18" t="s">
        <v>41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9" t="s">
        <v>45</v>
      </c>
      <c r="O2" s="1" t="s">
        <v>15</v>
      </c>
    </row>
    <row r="3" spans="1:17" s="21" customFormat="1" ht="33.75">
      <c r="A3" s="21">
        <v>1</v>
      </c>
      <c r="B3" s="4" t="s">
        <v>120</v>
      </c>
      <c r="C3" s="4" t="s">
        <v>121</v>
      </c>
      <c r="D3" s="4" t="s">
        <v>119</v>
      </c>
      <c r="E3" s="4" t="s">
        <v>122</v>
      </c>
      <c r="F3"/>
      <c r="G3" s="4">
        <v>588</v>
      </c>
      <c r="H3" s="4">
        <v>202</v>
      </c>
      <c r="I3" s="4">
        <v>26</v>
      </c>
      <c r="J3" s="4">
        <v>4</v>
      </c>
      <c r="K3" s="4">
        <v>3</v>
      </c>
      <c r="L3" s="4">
        <v>37</v>
      </c>
      <c r="M3" s="4">
        <v>113</v>
      </c>
      <c r="N3" s="4">
        <v>40</v>
      </c>
      <c r="O3" s="70" t="s">
        <v>185</v>
      </c>
      <c r="Q3" s="21" t="s">
        <v>117</v>
      </c>
    </row>
    <row r="4" spans="1:15" ht="33.75">
      <c r="A4">
        <v>2</v>
      </c>
      <c r="B4" t="s">
        <v>123</v>
      </c>
      <c r="C4" t="s">
        <v>124</v>
      </c>
      <c r="D4" t="s">
        <v>119</v>
      </c>
      <c r="E4" t="s">
        <v>122</v>
      </c>
      <c r="G4">
        <v>515</v>
      </c>
      <c r="H4">
        <v>169</v>
      </c>
      <c r="I4">
        <v>39</v>
      </c>
      <c r="J4">
        <v>6</v>
      </c>
      <c r="K4">
        <v>28</v>
      </c>
      <c r="L4">
        <v>93</v>
      </c>
      <c r="M4">
        <v>128</v>
      </c>
      <c r="N4">
        <v>40</v>
      </c>
      <c r="O4" s="70" t="s">
        <v>186</v>
      </c>
    </row>
    <row r="5" spans="1:15" ht="33.75">
      <c r="A5">
        <v>3</v>
      </c>
      <c r="B5" t="s">
        <v>125</v>
      </c>
      <c r="C5" t="s">
        <v>126</v>
      </c>
      <c r="D5" t="s">
        <v>119</v>
      </c>
      <c r="E5" t="s">
        <v>122</v>
      </c>
      <c r="G5">
        <v>559</v>
      </c>
      <c r="H5">
        <v>183</v>
      </c>
      <c r="I5">
        <v>35</v>
      </c>
      <c r="J5">
        <v>3</v>
      </c>
      <c r="K5">
        <v>40</v>
      </c>
      <c r="L5">
        <v>98</v>
      </c>
      <c r="M5">
        <v>86</v>
      </c>
      <c r="N5">
        <v>40</v>
      </c>
      <c r="O5" s="70" t="s">
        <v>187</v>
      </c>
    </row>
    <row r="6" spans="1:15" ht="33.75">
      <c r="A6">
        <v>4</v>
      </c>
      <c r="B6" t="s">
        <v>127</v>
      </c>
      <c r="C6" t="s">
        <v>128</v>
      </c>
      <c r="D6" t="s">
        <v>119</v>
      </c>
      <c r="E6" t="s">
        <v>122</v>
      </c>
      <c r="G6">
        <v>590</v>
      </c>
      <c r="H6">
        <v>191</v>
      </c>
      <c r="I6">
        <v>30</v>
      </c>
      <c r="J6">
        <v>2</v>
      </c>
      <c r="K6">
        <v>12</v>
      </c>
      <c r="L6">
        <v>32</v>
      </c>
      <c r="M6">
        <v>63</v>
      </c>
      <c r="N6">
        <v>40</v>
      </c>
      <c r="O6" s="70" t="s">
        <v>188</v>
      </c>
    </row>
    <row r="7" spans="1:15" ht="33.75">
      <c r="A7">
        <v>5</v>
      </c>
      <c r="B7" t="s">
        <v>129</v>
      </c>
      <c r="C7" t="s">
        <v>130</v>
      </c>
      <c r="D7" t="s">
        <v>119</v>
      </c>
      <c r="E7" t="s">
        <v>131</v>
      </c>
      <c r="G7">
        <v>560</v>
      </c>
      <c r="H7">
        <v>181</v>
      </c>
      <c r="I7">
        <v>22</v>
      </c>
      <c r="J7">
        <v>5</v>
      </c>
      <c r="K7">
        <v>6</v>
      </c>
      <c r="L7">
        <v>72</v>
      </c>
      <c r="M7">
        <v>77</v>
      </c>
      <c r="N7">
        <v>40</v>
      </c>
      <c r="O7" s="70" t="s">
        <v>189</v>
      </c>
    </row>
    <row r="8" spans="1:15" ht="38.25">
      <c r="A8">
        <v>6</v>
      </c>
      <c r="B8" t="s">
        <v>132</v>
      </c>
      <c r="C8" t="s">
        <v>133</v>
      </c>
      <c r="D8" t="s">
        <v>119</v>
      </c>
      <c r="E8" t="s">
        <v>134</v>
      </c>
      <c r="G8">
        <v>548</v>
      </c>
      <c r="H8">
        <v>175</v>
      </c>
      <c r="I8">
        <v>31</v>
      </c>
      <c r="J8">
        <v>4</v>
      </c>
      <c r="K8">
        <v>30</v>
      </c>
      <c r="L8">
        <v>63</v>
      </c>
      <c r="M8">
        <v>146</v>
      </c>
      <c r="N8">
        <v>40</v>
      </c>
      <c r="O8" s="72" t="s">
        <v>190</v>
      </c>
    </row>
    <row r="9" spans="1:15" ht="38.25">
      <c r="A9">
        <v>7</v>
      </c>
      <c r="B9" t="s">
        <v>135</v>
      </c>
      <c r="C9" t="s">
        <v>136</v>
      </c>
      <c r="D9" t="s">
        <v>119</v>
      </c>
      <c r="E9" t="s">
        <v>122</v>
      </c>
      <c r="G9">
        <v>540</v>
      </c>
      <c r="H9">
        <v>172</v>
      </c>
      <c r="I9">
        <v>25</v>
      </c>
      <c r="J9">
        <v>1</v>
      </c>
      <c r="K9">
        <v>32</v>
      </c>
      <c r="L9">
        <v>44</v>
      </c>
      <c r="M9">
        <v>43</v>
      </c>
      <c r="N9">
        <v>40</v>
      </c>
      <c r="O9" s="72" t="s">
        <v>191</v>
      </c>
    </row>
    <row r="10" spans="1:15" ht="38.25">
      <c r="A10">
        <v>8</v>
      </c>
      <c r="B10" t="s">
        <v>137</v>
      </c>
      <c r="C10" t="s">
        <v>138</v>
      </c>
      <c r="D10" t="s">
        <v>119</v>
      </c>
      <c r="E10" t="s">
        <v>122</v>
      </c>
      <c r="G10">
        <v>601</v>
      </c>
      <c r="H10">
        <v>190</v>
      </c>
      <c r="I10">
        <v>15</v>
      </c>
      <c r="J10">
        <v>9</v>
      </c>
      <c r="K10">
        <v>1</v>
      </c>
      <c r="L10">
        <v>69</v>
      </c>
      <c r="M10">
        <v>90</v>
      </c>
      <c r="N10">
        <v>40</v>
      </c>
      <c r="O10" s="71" t="s">
        <v>192</v>
      </c>
    </row>
    <row r="11" spans="1:15" ht="38.25">
      <c r="A11">
        <v>9</v>
      </c>
      <c r="B11" t="s">
        <v>139</v>
      </c>
      <c r="C11" t="s">
        <v>140</v>
      </c>
      <c r="D11" t="s">
        <v>119</v>
      </c>
      <c r="E11" t="s">
        <v>134</v>
      </c>
      <c r="F11" t="s">
        <v>142</v>
      </c>
      <c r="G11">
        <v>529</v>
      </c>
      <c r="H11">
        <v>164</v>
      </c>
      <c r="I11">
        <v>24</v>
      </c>
      <c r="J11">
        <v>2</v>
      </c>
      <c r="K11">
        <v>9</v>
      </c>
      <c r="L11">
        <v>60</v>
      </c>
      <c r="M11">
        <v>62</v>
      </c>
      <c r="N11">
        <v>40</v>
      </c>
      <c r="O11" s="71" t="s">
        <v>193</v>
      </c>
    </row>
    <row r="12" spans="1:15" ht="38.25">
      <c r="A12">
        <v>10</v>
      </c>
      <c r="B12" t="s">
        <v>143</v>
      </c>
      <c r="C12" t="s">
        <v>144</v>
      </c>
      <c r="D12" t="s">
        <v>119</v>
      </c>
      <c r="E12" t="s">
        <v>141</v>
      </c>
      <c r="G12">
        <v>506</v>
      </c>
      <c r="H12">
        <v>155</v>
      </c>
      <c r="I12">
        <v>20</v>
      </c>
      <c r="J12">
        <v>0</v>
      </c>
      <c r="K12">
        <v>38</v>
      </c>
      <c r="L12">
        <v>67</v>
      </c>
      <c r="M12">
        <v>139</v>
      </c>
      <c r="N12">
        <v>40</v>
      </c>
      <c r="O12" s="71" t="s">
        <v>194</v>
      </c>
    </row>
    <row r="13" spans="1:15" ht="38.25">
      <c r="A13">
        <v>11</v>
      </c>
      <c r="B13" t="s">
        <v>145</v>
      </c>
      <c r="C13" t="s">
        <v>146</v>
      </c>
      <c r="D13" t="s">
        <v>119</v>
      </c>
      <c r="E13" t="s">
        <v>122</v>
      </c>
      <c r="F13" t="s">
        <v>118</v>
      </c>
      <c r="G13">
        <v>431</v>
      </c>
      <c r="H13">
        <v>132</v>
      </c>
      <c r="I13">
        <v>22</v>
      </c>
      <c r="J13">
        <v>2</v>
      </c>
      <c r="K13">
        <v>21</v>
      </c>
      <c r="L13">
        <v>46</v>
      </c>
      <c r="M13">
        <v>65</v>
      </c>
      <c r="N13">
        <v>40</v>
      </c>
      <c r="O13" s="71" t="s">
        <v>195</v>
      </c>
    </row>
    <row r="14" spans="1:15" ht="38.25">
      <c r="A14">
        <v>12</v>
      </c>
      <c r="B14" t="s">
        <v>147</v>
      </c>
      <c r="C14" t="s">
        <v>148</v>
      </c>
      <c r="D14" t="s">
        <v>119</v>
      </c>
      <c r="E14" t="s">
        <v>141</v>
      </c>
      <c r="F14" t="s">
        <v>149</v>
      </c>
      <c r="G14">
        <v>541</v>
      </c>
      <c r="H14">
        <v>165</v>
      </c>
      <c r="I14">
        <v>30</v>
      </c>
      <c r="J14">
        <v>1</v>
      </c>
      <c r="K14">
        <v>43</v>
      </c>
      <c r="L14">
        <v>37</v>
      </c>
      <c r="M14">
        <v>126</v>
      </c>
      <c r="N14">
        <v>40</v>
      </c>
      <c r="O14" s="71" t="s">
        <v>196</v>
      </c>
    </row>
    <row r="15" spans="1:15" ht="38.25">
      <c r="A15">
        <v>13</v>
      </c>
      <c r="B15" t="s">
        <v>139</v>
      </c>
      <c r="C15" t="s">
        <v>150</v>
      </c>
      <c r="D15" t="s">
        <v>119</v>
      </c>
      <c r="E15" t="s">
        <v>122</v>
      </c>
      <c r="F15" t="s">
        <v>118</v>
      </c>
      <c r="G15">
        <v>450</v>
      </c>
      <c r="H15">
        <v>137</v>
      </c>
      <c r="I15">
        <v>26</v>
      </c>
      <c r="J15">
        <v>2</v>
      </c>
      <c r="K15">
        <v>31</v>
      </c>
      <c r="L15">
        <v>43</v>
      </c>
      <c r="M15">
        <v>108</v>
      </c>
      <c r="N15">
        <v>40</v>
      </c>
      <c r="O15" s="71" t="s">
        <v>197</v>
      </c>
    </row>
    <row r="16" spans="1:15" ht="38.25">
      <c r="A16">
        <v>14</v>
      </c>
      <c r="B16" t="s">
        <v>151</v>
      </c>
      <c r="C16" t="s">
        <v>152</v>
      </c>
      <c r="D16" t="s">
        <v>119</v>
      </c>
      <c r="E16" t="s">
        <v>131</v>
      </c>
      <c r="G16">
        <v>539</v>
      </c>
      <c r="H16">
        <v>162</v>
      </c>
      <c r="I16">
        <v>25</v>
      </c>
      <c r="J16">
        <v>0</v>
      </c>
      <c r="K16">
        <v>16</v>
      </c>
      <c r="L16">
        <v>37</v>
      </c>
      <c r="M16">
        <v>79</v>
      </c>
      <c r="N16">
        <v>40</v>
      </c>
      <c r="O16" s="71" t="s">
        <v>198</v>
      </c>
    </row>
    <row r="17" spans="1:15" ht="38.25">
      <c r="A17">
        <v>15</v>
      </c>
      <c r="B17" t="s">
        <v>153</v>
      </c>
      <c r="C17" t="s">
        <v>154</v>
      </c>
      <c r="D17" t="s">
        <v>119</v>
      </c>
      <c r="E17" t="s">
        <v>155</v>
      </c>
      <c r="G17">
        <v>476</v>
      </c>
      <c r="H17">
        <v>143</v>
      </c>
      <c r="I17">
        <v>16</v>
      </c>
      <c r="J17">
        <v>0</v>
      </c>
      <c r="K17">
        <v>26</v>
      </c>
      <c r="L17">
        <v>51</v>
      </c>
      <c r="M17">
        <v>78</v>
      </c>
      <c r="N17">
        <v>40</v>
      </c>
      <c r="O17" s="71" t="s">
        <v>199</v>
      </c>
    </row>
    <row r="18" spans="1:15" ht="38.25">
      <c r="A18">
        <v>16</v>
      </c>
      <c r="B18" t="s">
        <v>156</v>
      </c>
      <c r="C18" t="s">
        <v>157</v>
      </c>
      <c r="D18" t="s">
        <v>119</v>
      </c>
      <c r="E18" t="s">
        <v>122</v>
      </c>
      <c r="G18">
        <v>490</v>
      </c>
      <c r="H18">
        <v>147</v>
      </c>
      <c r="I18">
        <v>24</v>
      </c>
      <c r="J18">
        <v>3</v>
      </c>
      <c r="K18">
        <v>15</v>
      </c>
      <c r="L18">
        <v>32</v>
      </c>
      <c r="M18">
        <v>44</v>
      </c>
      <c r="N18">
        <v>40</v>
      </c>
      <c r="O18" s="71" t="s">
        <v>200</v>
      </c>
    </row>
    <row r="19" spans="1:15" ht="38.25">
      <c r="A19">
        <v>17</v>
      </c>
      <c r="B19" t="s">
        <v>158</v>
      </c>
      <c r="C19" t="s">
        <v>159</v>
      </c>
      <c r="D19" t="s">
        <v>119</v>
      </c>
      <c r="E19" t="s">
        <v>160</v>
      </c>
      <c r="G19">
        <v>623</v>
      </c>
      <c r="H19">
        <v>181</v>
      </c>
      <c r="I19">
        <v>22</v>
      </c>
      <c r="J19">
        <v>3</v>
      </c>
      <c r="K19">
        <v>22</v>
      </c>
      <c r="L19">
        <v>36</v>
      </c>
      <c r="M19">
        <v>74</v>
      </c>
      <c r="N19">
        <v>40</v>
      </c>
      <c r="O19" s="71" t="s">
        <v>201</v>
      </c>
    </row>
    <row r="20" spans="1:15" ht="38.25">
      <c r="A20">
        <v>18</v>
      </c>
      <c r="B20" t="s">
        <v>161</v>
      </c>
      <c r="C20" t="s">
        <v>162</v>
      </c>
      <c r="D20" t="s">
        <v>119</v>
      </c>
      <c r="E20" t="s">
        <v>131</v>
      </c>
      <c r="G20">
        <v>560</v>
      </c>
      <c r="H20">
        <v>162</v>
      </c>
      <c r="I20">
        <v>38</v>
      </c>
      <c r="J20">
        <v>1</v>
      </c>
      <c r="K20">
        <v>19</v>
      </c>
      <c r="L20">
        <v>46</v>
      </c>
      <c r="M20">
        <v>145</v>
      </c>
      <c r="N20">
        <v>40</v>
      </c>
      <c r="O20" s="71" t="s">
        <v>202</v>
      </c>
    </row>
    <row r="21" spans="1:15" ht="38.25">
      <c r="A21">
        <v>19</v>
      </c>
      <c r="B21" t="s">
        <v>163</v>
      </c>
      <c r="C21" t="s">
        <v>164</v>
      </c>
      <c r="D21" t="s">
        <v>119</v>
      </c>
      <c r="E21" t="s">
        <v>122</v>
      </c>
      <c r="G21">
        <v>560</v>
      </c>
      <c r="H21">
        <v>161</v>
      </c>
      <c r="I21">
        <v>23</v>
      </c>
      <c r="J21">
        <v>0</v>
      </c>
      <c r="K21">
        <v>27</v>
      </c>
      <c r="L21">
        <v>53</v>
      </c>
      <c r="M21">
        <v>112</v>
      </c>
      <c r="N21">
        <v>40</v>
      </c>
      <c r="O21" s="71" t="s">
        <v>203</v>
      </c>
    </row>
    <row r="22" spans="1:15" ht="38.25">
      <c r="A22">
        <v>20</v>
      </c>
      <c r="B22" t="s">
        <v>165</v>
      </c>
      <c r="C22" t="s">
        <v>166</v>
      </c>
      <c r="D22" t="s">
        <v>119</v>
      </c>
      <c r="E22" t="s">
        <v>122</v>
      </c>
      <c r="G22">
        <v>596</v>
      </c>
      <c r="H22">
        <v>168</v>
      </c>
      <c r="I22">
        <v>19</v>
      </c>
      <c r="J22">
        <v>1</v>
      </c>
      <c r="K22">
        <v>32</v>
      </c>
      <c r="L22">
        <v>23</v>
      </c>
      <c r="M22">
        <v>121</v>
      </c>
      <c r="N22">
        <v>40</v>
      </c>
      <c r="O22" s="71" t="s">
        <v>204</v>
      </c>
    </row>
    <row r="23" spans="1:15" ht="38.25">
      <c r="A23">
        <v>21</v>
      </c>
      <c r="B23" t="s">
        <v>167</v>
      </c>
      <c r="C23" t="s">
        <v>168</v>
      </c>
      <c r="D23" t="s">
        <v>119</v>
      </c>
      <c r="E23" t="s">
        <v>134</v>
      </c>
      <c r="G23">
        <v>524</v>
      </c>
      <c r="H23">
        <v>147</v>
      </c>
      <c r="I23">
        <v>25</v>
      </c>
      <c r="J23">
        <v>0</v>
      </c>
      <c r="K23">
        <v>34</v>
      </c>
      <c r="L23">
        <v>62</v>
      </c>
      <c r="M23">
        <v>114</v>
      </c>
      <c r="N23">
        <v>40</v>
      </c>
      <c r="O23" s="71" t="s">
        <v>205</v>
      </c>
    </row>
    <row r="24" spans="1:15" ht="38.25">
      <c r="A24">
        <v>22</v>
      </c>
      <c r="B24" t="s">
        <v>169</v>
      </c>
      <c r="C24" t="s">
        <v>170</v>
      </c>
      <c r="D24" t="s">
        <v>119</v>
      </c>
      <c r="E24" t="s">
        <v>160</v>
      </c>
      <c r="F24" t="s">
        <v>134</v>
      </c>
      <c r="G24">
        <v>559</v>
      </c>
      <c r="H24">
        <v>156</v>
      </c>
      <c r="I24">
        <v>26</v>
      </c>
      <c r="J24">
        <v>2</v>
      </c>
      <c r="K24">
        <v>29</v>
      </c>
      <c r="L24">
        <v>57</v>
      </c>
      <c r="M24">
        <v>88</v>
      </c>
      <c r="N24">
        <v>40</v>
      </c>
      <c r="O24" s="71" t="s">
        <v>206</v>
      </c>
    </row>
    <row r="25" spans="1:15" ht="38.25">
      <c r="A25">
        <v>23</v>
      </c>
      <c r="B25" t="s">
        <v>171</v>
      </c>
      <c r="C25" t="s">
        <v>172</v>
      </c>
      <c r="D25" t="s">
        <v>119</v>
      </c>
      <c r="E25" t="s">
        <v>160</v>
      </c>
      <c r="F25" t="s">
        <v>134</v>
      </c>
      <c r="G25">
        <v>572</v>
      </c>
      <c r="H25">
        <v>159</v>
      </c>
      <c r="I25">
        <v>27</v>
      </c>
      <c r="J25">
        <v>1</v>
      </c>
      <c r="K25">
        <v>9</v>
      </c>
      <c r="L25">
        <v>53</v>
      </c>
      <c r="M25">
        <v>115</v>
      </c>
      <c r="N25">
        <v>40</v>
      </c>
      <c r="O25" s="71" t="s">
        <v>207</v>
      </c>
    </row>
    <row r="26" spans="1:15" ht="38.25">
      <c r="A26">
        <v>24</v>
      </c>
      <c r="B26" t="s">
        <v>173</v>
      </c>
      <c r="C26" t="s">
        <v>174</v>
      </c>
      <c r="D26" t="s">
        <v>119</v>
      </c>
      <c r="E26" t="s">
        <v>122</v>
      </c>
      <c r="G26">
        <v>302</v>
      </c>
      <c r="H26">
        <v>84</v>
      </c>
      <c r="I26">
        <v>19</v>
      </c>
      <c r="J26">
        <v>0</v>
      </c>
      <c r="K26">
        <v>8</v>
      </c>
      <c r="L26">
        <v>29</v>
      </c>
      <c r="M26">
        <v>66</v>
      </c>
      <c r="N26">
        <v>40</v>
      </c>
      <c r="O26" s="71" t="s">
        <v>208</v>
      </c>
    </row>
    <row r="27" spans="1:15" ht="38.25">
      <c r="A27">
        <v>25</v>
      </c>
      <c r="B27" t="s">
        <v>147</v>
      </c>
      <c r="C27" t="s">
        <v>175</v>
      </c>
      <c r="D27" t="s">
        <v>119</v>
      </c>
      <c r="E27" t="s">
        <v>122</v>
      </c>
      <c r="F27" t="s">
        <v>141</v>
      </c>
      <c r="G27">
        <v>578</v>
      </c>
      <c r="H27">
        <v>157</v>
      </c>
      <c r="I27">
        <v>28</v>
      </c>
      <c r="J27">
        <v>2</v>
      </c>
      <c r="K27">
        <v>19</v>
      </c>
      <c r="L27">
        <v>57</v>
      </c>
      <c r="M27">
        <v>119</v>
      </c>
      <c r="N27">
        <v>40</v>
      </c>
      <c r="O27" s="71" t="s">
        <v>209</v>
      </c>
    </row>
    <row r="28" spans="1:15" ht="38.25">
      <c r="A28">
        <v>26</v>
      </c>
      <c r="B28" t="s">
        <v>176</v>
      </c>
      <c r="C28" t="s">
        <v>177</v>
      </c>
      <c r="D28" t="s">
        <v>119</v>
      </c>
      <c r="E28" t="s">
        <v>155</v>
      </c>
      <c r="G28">
        <v>499</v>
      </c>
      <c r="H28">
        <v>135</v>
      </c>
      <c r="I28">
        <v>26</v>
      </c>
      <c r="J28">
        <v>0</v>
      </c>
      <c r="K28">
        <v>19</v>
      </c>
      <c r="L28">
        <v>32</v>
      </c>
      <c r="M28">
        <v>113</v>
      </c>
      <c r="N28">
        <v>40</v>
      </c>
      <c r="O28" s="71" t="s">
        <v>210</v>
      </c>
    </row>
    <row r="29" spans="1:15" ht="38.25">
      <c r="A29">
        <v>27</v>
      </c>
      <c r="B29" t="s">
        <v>165</v>
      </c>
      <c r="C29" t="s">
        <v>178</v>
      </c>
      <c r="D29" t="s">
        <v>119</v>
      </c>
      <c r="E29" t="s">
        <v>122</v>
      </c>
      <c r="G29">
        <v>524</v>
      </c>
      <c r="H29">
        <v>141</v>
      </c>
      <c r="I29">
        <v>24</v>
      </c>
      <c r="J29">
        <v>0</v>
      </c>
      <c r="K29">
        <v>18</v>
      </c>
      <c r="L29">
        <v>41</v>
      </c>
      <c r="M29">
        <v>103</v>
      </c>
      <c r="N29">
        <v>40</v>
      </c>
      <c r="O29" s="71" t="s">
        <v>211</v>
      </c>
    </row>
    <row r="30" spans="1:15" ht="38.25">
      <c r="A30">
        <v>28</v>
      </c>
      <c r="B30" t="s">
        <v>179</v>
      </c>
      <c r="C30" t="s">
        <v>180</v>
      </c>
      <c r="D30" t="s">
        <v>119</v>
      </c>
      <c r="E30" t="s">
        <v>160</v>
      </c>
      <c r="G30">
        <v>484</v>
      </c>
      <c r="H30">
        <v>130</v>
      </c>
      <c r="I30">
        <v>13</v>
      </c>
      <c r="J30">
        <v>0</v>
      </c>
      <c r="K30">
        <v>11</v>
      </c>
      <c r="L30">
        <v>27</v>
      </c>
      <c r="M30">
        <v>70</v>
      </c>
      <c r="N30">
        <v>40</v>
      </c>
      <c r="O30" s="71" t="s">
        <v>212</v>
      </c>
    </row>
    <row r="31" spans="1:15" ht="38.25">
      <c r="A31">
        <v>29</v>
      </c>
      <c r="B31" t="s">
        <v>181</v>
      </c>
      <c r="C31" t="s">
        <v>182</v>
      </c>
      <c r="D31" t="s">
        <v>119</v>
      </c>
      <c r="E31" t="s">
        <v>131</v>
      </c>
      <c r="G31">
        <v>547</v>
      </c>
      <c r="H31">
        <v>145</v>
      </c>
      <c r="I31">
        <v>19</v>
      </c>
      <c r="J31">
        <v>2</v>
      </c>
      <c r="K31">
        <v>7</v>
      </c>
      <c r="L31">
        <v>26</v>
      </c>
      <c r="M31">
        <v>88</v>
      </c>
      <c r="N31">
        <v>40</v>
      </c>
      <c r="O31" s="71" t="s">
        <v>213</v>
      </c>
    </row>
    <row r="32" spans="1:15" ht="38.25">
      <c r="A32">
        <v>30</v>
      </c>
      <c r="B32" t="s">
        <v>183</v>
      </c>
      <c r="C32" t="s">
        <v>184</v>
      </c>
      <c r="D32" t="s">
        <v>119</v>
      </c>
      <c r="E32" t="s">
        <v>155</v>
      </c>
      <c r="G32">
        <v>498</v>
      </c>
      <c r="H32">
        <v>129</v>
      </c>
      <c r="I32">
        <v>20</v>
      </c>
      <c r="J32">
        <v>0</v>
      </c>
      <c r="K32">
        <v>8</v>
      </c>
      <c r="L32">
        <v>39</v>
      </c>
      <c r="M32">
        <v>90</v>
      </c>
      <c r="N32">
        <v>40</v>
      </c>
      <c r="O32" s="71" t="s">
        <v>214</v>
      </c>
    </row>
    <row r="33" spans="1:15" ht="38.25">
      <c r="A33">
        <v>31</v>
      </c>
      <c r="B33" t="s">
        <v>216</v>
      </c>
      <c r="C33" t="s">
        <v>217</v>
      </c>
      <c r="D33" t="s">
        <v>215</v>
      </c>
      <c r="E33" t="s">
        <v>122</v>
      </c>
      <c r="G33">
        <v>475</v>
      </c>
      <c r="H33">
        <v>153</v>
      </c>
      <c r="I33">
        <v>32</v>
      </c>
      <c r="J33">
        <v>3</v>
      </c>
      <c r="K33">
        <v>27</v>
      </c>
      <c r="L33">
        <v>60</v>
      </c>
      <c r="M33">
        <v>66</v>
      </c>
      <c r="N33">
        <v>40</v>
      </c>
      <c r="O33" s="71" t="s">
        <v>218</v>
      </c>
    </row>
    <row r="34" spans="1:15" ht="38.25">
      <c r="A34">
        <v>32</v>
      </c>
      <c r="B34" t="s">
        <v>219</v>
      </c>
      <c r="C34" t="s">
        <v>220</v>
      </c>
      <c r="D34" t="s">
        <v>215</v>
      </c>
      <c r="E34" t="s">
        <v>141</v>
      </c>
      <c r="G34">
        <v>461</v>
      </c>
      <c r="H34">
        <v>147</v>
      </c>
      <c r="I34">
        <v>20</v>
      </c>
      <c r="J34">
        <v>1</v>
      </c>
      <c r="K34">
        <v>43</v>
      </c>
      <c r="L34">
        <v>44</v>
      </c>
      <c r="M34">
        <v>119</v>
      </c>
      <c r="N34">
        <v>40</v>
      </c>
      <c r="O34" s="71" t="s">
        <v>221</v>
      </c>
    </row>
    <row r="35" spans="1:15" ht="38.25">
      <c r="A35">
        <v>33</v>
      </c>
      <c r="B35" t="s">
        <v>222</v>
      </c>
      <c r="C35" t="s">
        <v>223</v>
      </c>
      <c r="D35" t="s">
        <v>215</v>
      </c>
      <c r="E35" t="s">
        <v>141</v>
      </c>
      <c r="G35">
        <v>483</v>
      </c>
      <c r="H35">
        <v>152</v>
      </c>
      <c r="I35">
        <v>26</v>
      </c>
      <c r="J35">
        <v>2</v>
      </c>
      <c r="K35">
        <v>46</v>
      </c>
      <c r="L35">
        <v>76</v>
      </c>
      <c r="M35">
        <v>85</v>
      </c>
      <c r="N35">
        <v>40</v>
      </c>
      <c r="O35" s="71" t="s">
        <v>224</v>
      </c>
    </row>
    <row r="36" spans="1:15" ht="38.25">
      <c r="A36">
        <v>34</v>
      </c>
      <c r="B36" t="s">
        <v>225</v>
      </c>
      <c r="C36" t="s">
        <v>226</v>
      </c>
      <c r="D36" t="s">
        <v>215</v>
      </c>
      <c r="E36" t="s">
        <v>160</v>
      </c>
      <c r="F36" t="s">
        <v>134</v>
      </c>
      <c r="G36">
        <v>414</v>
      </c>
      <c r="H36">
        <v>129</v>
      </c>
      <c r="I36">
        <v>25</v>
      </c>
      <c r="J36">
        <v>3</v>
      </c>
      <c r="K36">
        <v>6</v>
      </c>
      <c r="L36">
        <v>51</v>
      </c>
      <c r="M36">
        <v>74</v>
      </c>
      <c r="N36">
        <v>40</v>
      </c>
      <c r="O36" s="71" t="s">
        <v>227</v>
      </c>
    </row>
    <row r="37" spans="1:15" ht="38.25">
      <c r="A37">
        <v>35</v>
      </c>
      <c r="B37" t="s">
        <v>228</v>
      </c>
      <c r="C37" t="s">
        <v>229</v>
      </c>
      <c r="D37" t="s">
        <v>215</v>
      </c>
      <c r="E37" t="s">
        <v>122</v>
      </c>
      <c r="G37">
        <v>409</v>
      </c>
      <c r="H37">
        <v>127</v>
      </c>
      <c r="I37">
        <v>22</v>
      </c>
      <c r="J37">
        <v>1</v>
      </c>
      <c r="K37">
        <v>3</v>
      </c>
      <c r="L37">
        <v>29</v>
      </c>
      <c r="M37">
        <v>43</v>
      </c>
      <c r="N37">
        <v>40</v>
      </c>
      <c r="O37" s="71" t="s">
        <v>230</v>
      </c>
    </row>
    <row r="38" spans="1:15" ht="38.25">
      <c r="A38">
        <v>36</v>
      </c>
      <c r="B38" t="s">
        <v>231</v>
      </c>
      <c r="C38" t="s">
        <v>232</v>
      </c>
      <c r="D38" t="s">
        <v>215</v>
      </c>
      <c r="E38" t="s">
        <v>134</v>
      </c>
      <c r="G38">
        <v>461</v>
      </c>
      <c r="H38">
        <v>143</v>
      </c>
      <c r="I38">
        <v>35</v>
      </c>
      <c r="J38">
        <v>3</v>
      </c>
      <c r="K38">
        <v>8</v>
      </c>
      <c r="L38">
        <v>22</v>
      </c>
      <c r="M38">
        <v>62</v>
      </c>
      <c r="N38">
        <v>40</v>
      </c>
      <c r="O38" s="71" t="s">
        <v>233</v>
      </c>
    </row>
    <row r="39" spans="1:15" ht="38.25">
      <c r="A39">
        <v>37</v>
      </c>
      <c r="B39" t="s">
        <v>236</v>
      </c>
      <c r="C39" t="s">
        <v>234</v>
      </c>
      <c r="D39" t="s">
        <v>215</v>
      </c>
      <c r="E39" t="s">
        <v>155</v>
      </c>
      <c r="F39" t="s">
        <v>141</v>
      </c>
      <c r="G39">
        <v>411</v>
      </c>
      <c r="H39">
        <v>127</v>
      </c>
      <c r="I39">
        <v>22</v>
      </c>
      <c r="J39">
        <v>4</v>
      </c>
      <c r="K39">
        <v>24</v>
      </c>
      <c r="L39">
        <v>33</v>
      </c>
      <c r="M39">
        <v>32</v>
      </c>
      <c r="N39">
        <v>40</v>
      </c>
      <c r="O39" s="71" t="s">
        <v>235</v>
      </c>
    </row>
    <row r="40" spans="1:15" ht="38.25">
      <c r="A40">
        <v>38</v>
      </c>
      <c r="B40" t="s">
        <v>145</v>
      </c>
      <c r="C40" t="s">
        <v>237</v>
      </c>
      <c r="D40" t="s">
        <v>215</v>
      </c>
      <c r="E40" t="s">
        <v>160</v>
      </c>
      <c r="G40">
        <v>380</v>
      </c>
      <c r="H40">
        <v>116</v>
      </c>
      <c r="I40">
        <v>16</v>
      </c>
      <c r="J40">
        <v>0</v>
      </c>
      <c r="K40">
        <v>7</v>
      </c>
      <c r="L40">
        <v>31</v>
      </c>
      <c r="M40">
        <v>75</v>
      </c>
      <c r="N40">
        <v>40</v>
      </c>
      <c r="O40" s="71" t="s">
        <v>238</v>
      </c>
    </row>
    <row r="41" spans="1:15" ht="38.25">
      <c r="A41">
        <v>39</v>
      </c>
      <c r="B41" t="s">
        <v>239</v>
      </c>
      <c r="C41" t="s">
        <v>240</v>
      </c>
      <c r="D41" t="s">
        <v>215</v>
      </c>
      <c r="E41" t="s">
        <v>134</v>
      </c>
      <c r="F41" t="s">
        <v>122</v>
      </c>
      <c r="G41">
        <v>464</v>
      </c>
      <c r="H41">
        <v>139</v>
      </c>
      <c r="I41">
        <v>28</v>
      </c>
      <c r="J41">
        <v>0</v>
      </c>
      <c r="K41">
        <v>21</v>
      </c>
      <c r="L41">
        <v>52</v>
      </c>
      <c r="M41">
        <v>90</v>
      </c>
      <c r="N41">
        <v>40</v>
      </c>
      <c r="O41" s="71" t="s">
        <v>241</v>
      </c>
    </row>
    <row r="42" spans="1:15" ht="38.25">
      <c r="A42">
        <v>40</v>
      </c>
      <c r="B42" t="s">
        <v>165</v>
      </c>
      <c r="C42" t="s">
        <v>242</v>
      </c>
      <c r="D42" t="s">
        <v>215</v>
      </c>
      <c r="E42" t="s">
        <v>141</v>
      </c>
      <c r="G42">
        <v>444</v>
      </c>
      <c r="H42">
        <v>133</v>
      </c>
      <c r="I42">
        <v>28</v>
      </c>
      <c r="J42">
        <v>0</v>
      </c>
      <c r="K42">
        <v>36</v>
      </c>
      <c r="L42">
        <v>71</v>
      </c>
      <c r="M42">
        <v>117</v>
      </c>
      <c r="N42">
        <v>40</v>
      </c>
      <c r="O42" s="71" t="s">
        <v>243</v>
      </c>
    </row>
    <row r="43" spans="1:15" ht="38.25">
      <c r="A43">
        <v>41</v>
      </c>
      <c r="B43" t="s">
        <v>244</v>
      </c>
      <c r="C43" t="s">
        <v>245</v>
      </c>
      <c r="D43" t="s">
        <v>215</v>
      </c>
      <c r="E43" t="s">
        <v>141</v>
      </c>
      <c r="G43">
        <v>434</v>
      </c>
      <c r="H43">
        <v>130</v>
      </c>
      <c r="I43">
        <v>25</v>
      </c>
      <c r="J43">
        <v>1</v>
      </c>
      <c r="K43">
        <v>6</v>
      </c>
      <c r="L43">
        <v>39</v>
      </c>
      <c r="M43">
        <v>55</v>
      </c>
      <c r="N43">
        <v>40</v>
      </c>
      <c r="O43" s="71" t="s">
        <v>199</v>
      </c>
    </row>
    <row r="44" spans="1:15" ht="38.25">
      <c r="A44">
        <v>42</v>
      </c>
      <c r="B44" t="s">
        <v>246</v>
      </c>
      <c r="C44" t="s">
        <v>242</v>
      </c>
      <c r="D44" t="s">
        <v>215</v>
      </c>
      <c r="E44" t="s">
        <v>160</v>
      </c>
      <c r="F44" t="s">
        <v>247</v>
      </c>
      <c r="G44">
        <v>454</v>
      </c>
      <c r="H44">
        <v>135</v>
      </c>
      <c r="I44">
        <v>23</v>
      </c>
      <c r="J44">
        <v>1</v>
      </c>
      <c r="K44">
        <v>8</v>
      </c>
      <c r="L44">
        <v>41</v>
      </c>
      <c r="M44">
        <v>78</v>
      </c>
      <c r="N44">
        <v>40</v>
      </c>
      <c r="O44" s="71" t="s">
        <v>248</v>
      </c>
    </row>
    <row r="45" spans="1:15" ht="38.25">
      <c r="A45">
        <v>43</v>
      </c>
      <c r="B45" t="s">
        <v>249</v>
      </c>
      <c r="C45" t="s">
        <v>250</v>
      </c>
      <c r="D45" t="s">
        <v>215</v>
      </c>
      <c r="E45" t="s">
        <v>134</v>
      </c>
      <c r="F45" t="s">
        <v>141</v>
      </c>
      <c r="G45">
        <v>420</v>
      </c>
      <c r="H45">
        <v>123</v>
      </c>
      <c r="I45">
        <v>26</v>
      </c>
      <c r="J45">
        <v>2</v>
      </c>
      <c r="K45">
        <v>26</v>
      </c>
      <c r="L45">
        <v>46</v>
      </c>
      <c r="M45">
        <v>91</v>
      </c>
      <c r="N45">
        <v>40</v>
      </c>
      <c r="O45" s="71" t="s">
        <v>251</v>
      </c>
    </row>
    <row r="46" spans="1:15" ht="38.25">
      <c r="A46">
        <v>44</v>
      </c>
      <c r="B46" t="s">
        <v>252</v>
      </c>
      <c r="C46" t="s">
        <v>253</v>
      </c>
      <c r="D46" t="s">
        <v>215</v>
      </c>
      <c r="E46" t="s">
        <v>141</v>
      </c>
      <c r="G46">
        <v>489</v>
      </c>
      <c r="H46">
        <v>141</v>
      </c>
      <c r="I46">
        <v>20</v>
      </c>
      <c r="J46">
        <v>0</v>
      </c>
      <c r="K46">
        <v>31</v>
      </c>
      <c r="L46">
        <v>45</v>
      </c>
      <c r="M46">
        <v>141</v>
      </c>
      <c r="N46">
        <v>40</v>
      </c>
      <c r="O46" s="71" t="s">
        <v>254</v>
      </c>
    </row>
    <row r="47" spans="1:15" ht="38.25">
      <c r="A47">
        <v>45</v>
      </c>
      <c r="B47" t="s">
        <v>255</v>
      </c>
      <c r="C47" t="s">
        <v>256</v>
      </c>
      <c r="D47" t="s">
        <v>215</v>
      </c>
      <c r="E47" t="s">
        <v>160</v>
      </c>
      <c r="F47" t="s">
        <v>122</v>
      </c>
      <c r="G47">
        <v>397</v>
      </c>
      <c r="H47">
        <v>113</v>
      </c>
      <c r="I47">
        <v>5</v>
      </c>
      <c r="J47">
        <v>4</v>
      </c>
      <c r="K47">
        <v>3</v>
      </c>
      <c r="L47">
        <v>34</v>
      </c>
      <c r="M47">
        <v>66</v>
      </c>
      <c r="N47">
        <v>40</v>
      </c>
      <c r="O47" s="71" t="s">
        <v>257</v>
      </c>
    </row>
    <row r="48" spans="1:15" ht="38.25">
      <c r="A48">
        <v>46</v>
      </c>
      <c r="B48" t="s">
        <v>258</v>
      </c>
      <c r="C48" t="s">
        <v>259</v>
      </c>
      <c r="D48" t="s">
        <v>215</v>
      </c>
      <c r="E48" t="s">
        <v>134</v>
      </c>
      <c r="F48" t="s">
        <v>141</v>
      </c>
      <c r="G48">
        <v>514</v>
      </c>
      <c r="H48">
        <v>145</v>
      </c>
      <c r="I48">
        <v>27</v>
      </c>
      <c r="J48">
        <v>2</v>
      </c>
      <c r="K48">
        <v>37</v>
      </c>
      <c r="L48">
        <v>61</v>
      </c>
      <c r="M48">
        <v>114</v>
      </c>
      <c r="N48">
        <v>40</v>
      </c>
      <c r="O48" s="71" t="s">
        <v>260</v>
      </c>
    </row>
    <row r="49" spans="1:15" ht="38.25">
      <c r="A49">
        <v>47</v>
      </c>
      <c r="B49" t="s">
        <v>261</v>
      </c>
      <c r="C49" t="s">
        <v>262</v>
      </c>
      <c r="D49" t="s">
        <v>215</v>
      </c>
      <c r="E49" t="s">
        <v>141</v>
      </c>
      <c r="G49">
        <v>387</v>
      </c>
      <c r="H49">
        <v>109</v>
      </c>
      <c r="I49">
        <v>23</v>
      </c>
      <c r="J49">
        <v>0</v>
      </c>
      <c r="K49">
        <v>10</v>
      </c>
      <c r="L49">
        <v>30</v>
      </c>
      <c r="M49">
        <v>67</v>
      </c>
      <c r="N49">
        <v>40</v>
      </c>
      <c r="O49" s="71" t="s">
        <v>263</v>
      </c>
    </row>
    <row r="50" spans="1:15" ht="38.25">
      <c r="A50">
        <v>48</v>
      </c>
      <c r="B50" t="s">
        <v>264</v>
      </c>
      <c r="C50" t="s">
        <v>265</v>
      </c>
      <c r="D50" t="s">
        <v>215</v>
      </c>
      <c r="E50" t="s">
        <v>160</v>
      </c>
      <c r="F50" t="s">
        <v>266</v>
      </c>
      <c r="G50">
        <v>513</v>
      </c>
      <c r="H50">
        <v>144</v>
      </c>
      <c r="I50">
        <v>16</v>
      </c>
      <c r="J50">
        <v>4</v>
      </c>
      <c r="K50">
        <v>18</v>
      </c>
      <c r="L50">
        <v>45</v>
      </c>
      <c r="M50">
        <v>138</v>
      </c>
      <c r="N50">
        <v>40</v>
      </c>
      <c r="O50" s="71" t="s">
        <v>267</v>
      </c>
    </row>
    <row r="51" spans="1:15" ht="38.25">
      <c r="A51">
        <v>49</v>
      </c>
      <c r="B51" t="s">
        <v>268</v>
      </c>
      <c r="C51" t="s">
        <v>269</v>
      </c>
      <c r="D51" t="s">
        <v>215</v>
      </c>
      <c r="E51" t="s">
        <v>131</v>
      </c>
      <c r="F51" t="s">
        <v>134</v>
      </c>
      <c r="G51">
        <v>405</v>
      </c>
      <c r="H51">
        <v>111</v>
      </c>
      <c r="I51">
        <v>21</v>
      </c>
      <c r="J51">
        <v>2</v>
      </c>
      <c r="K51">
        <v>11</v>
      </c>
      <c r="L51">
        <v>22</v>
      </c>
      <c r="M51">
        <v>67</v>
      </c>
      <c r="N51">
        <v>40</v>
      </c>
      <c r="O51" s="71" t="s">
        <v>270</v>
      </c>
    </row>
    <row r="52" spans="1:15" ht="38.25">
      <c r="A52">
        <v>50</v>
      </c>
      <c r="B52" t="s">
        <v>271</v>
      </c>
      <c r="C52" t="s">
        <v>272</v>
      </c>
      <c r="D52" t="s">
        <v>215</v>
      </c>
      <c r="E52" t="s">
        <v>122</v>
      </c>
      <c r="G52">
        <v>427</v>
      </c>
      <c r="H52">
        <v>116</v>
      </c>
      <c r="I52">
        <v>19</v>
      </c>
      <c r="J52">
        <v>3</v>
      </c>
      <c r="K52">
        <v>3</v>
      </c>
      <c r="L52">
        <v>30</v>
      </c>
      <c r="M52">
        <v>93</v>
      </c>
      <c r="N52">
        <v>40</v>
      </c>
      <c r="O52" s="71" t="s">
        <v>273</v>
      </c>
    </row>
    <row r="53" spans="1:15" ht="38.25">
      <c r="A53">
        <v>51</v>
      </c>
      <c r="B53" t="s">
        <v>274</v>
      </c>
      <c r="C53" t="s">
        <v>275</v>
      </c>
      <c r="D53" t="s">
        <v>215</v>
      </c>
      <c r="E53" t="s">
        <v>131</v>
      </c>
      <c r="G53">
        <v>399</v>
      </c>
      <c r="H53">
        <v>108</v>
      </c>
      <c r="I53">
        <v>12</v>
      </c>
      <c r="J53">
        <v>3</v>
      </c>
      <c r="K53">
        <v>4</v>
      </c>
      <c r="L53">
        <v>26</v>
      </c>
      <c r="M53">
        <v>52</v>
      </c>
      <c r="N53">
        <v>40</v>
      </c>
      <c r="O53" s="71" t="s">
        <v>276</v>
      </c>
    </row>
    <row r="54" spans="1:15" ht="38.25">
      <c r="A54">
        <v>52</v>
      </c>
      <c r="B54" t="s">
        <v>277</v>
      </c>
      <c r="C54" t="s">
        <v>278</v>
      </c>
      <c r="D54" t="s">
        <v>215</v>
      </c>
      <c r="E54" t="s">
        <v>122</v>
      </c>
      <c r="G54">
        <v>414</v>
      </c>
      <c r="H54">
        <v>112</v>
      </c>
      <c r="I54">
        <v>28</v>
      </c>
      <c r="J54">
        <v>4</v>
      </c>
      <c r="K54">
        <v>15</v>
      </c>
      <c r="L54">
        <v>21</v>
      </c>
      <c r="M54">
        <v>82</v>
      </c>
      <c r="N54">
        <v>40</v>
      </c>
      <c r="O54" s="71" t="s">
        <v>279</v>
      </c>
    </row>
    <row r="55" spans="1:15" ht="38.25">
      <c r="A55">
        <v>53</v>
      </c>
      <c r="B55" t="s">
        <v>280</v>
      </c>
      <c r="C55" t="s">
        <v>281</v>
      </c>
      <c r="D55" t="s">
        <v>215</v>
      </c>
      <c r="E55" t="s">
        <v>122</v>
      </c>
      <c r="G55">
        <v>529</v>
      </c>
      <c r="H55">
        <v>143</v>
      </c>
      <c r="I55">
        <v>21</v>
      </c>
      <c r="J55">
        <v>3</v>
      </c>
      <c r="K55">
        <v>8</v>
      </c>
      <c r="L55">
        <v>22</v>
      </c>
      <c r="M55">
        <v>76</v>
      </c>
      <c r="N55">
        <v>40</v>
      </c>
      <c r="O55" s="71" t="s">
        <v>282</v>
      </c>
    </row>
    <row r="56" spans="1:15" ht="38.25">
      <c r="A56">
        <v>54</v>
      </c>
      <c r="B56" t="s">
        <v>283</v>
      </c>
      <c r="C56" t="s">
        <v>284</v>
      </c>
      <c r="D56" t="s">
        <v>215</v>
      </c>
      <c r="E56" t="s">
        <v>131</v>
      </c>
      <c r="F56" t="s">
        <v>160</v>
      </c>
      <c r="G56">
        <v>447</v>
      </c>
      <c r="H56">
        <v>120</v>
      </c>
      <c r="I56">
        <v>22</v>
      </c>
      <c r="J56">
        <v>11</v>
      </c>
      <c r="K56">
        <v>4</v>
      </c>
      <c r="L56">
        <v>31</v>
      </c>
      <c r="M56">
        <v>51</v>
      </c>
      <c r="N56">
        <v>40</v>
      </c>
      <c r="O56" s="71" t="s">
        <v>285</v>
      </c>
    </row>
    <row r="57" spans="1:15" ht="38.25">
      <c r="A57">
        <v>55</v>
      </c>
      <c r="B57" t="s">
        <v>286</v>
      </c>
      <c r="C57" t="s">
        <v>287</v>
      </c>
      <c r="D57" t="s">
        <v>215</v>
      </c>
      <c r="E57" t="s">
        <v>141</v>
      </c>
      <c r="G57">
        <v>383</v>
      </c>
      <c r="H57">
        <v>102</v>
      </c>
      <c r="I57">
        <v>22</v>
      </c>
      <c r="J57">
        <v>1</v>
      </c>
      <c r="K57">
        <v>25</v>
      </c>
      <c r="L57">
        <v>38</v>
      </c>
      <c r="M57">
        <v>80</v>
      </c>
      <c r="N57">
        <v>40</v>
      </c>
      <c r="O57" s="71" t="s">
        <v>288</v>
      </c>
    </row>
    <row r="58" spans="1:15" ht="38.25">
      <c r="A58">
        <v>56</v>
      </c>
      <c r="B58" t="s">
        <v>145</v>
      </c>
      <c r="C58" t="s">
        <v>289</v>
      </c>
      <c r="D58" t="s">
        <v>215</v>
      </c>
      <c r="E58" t="s">
        <v>122</v>
      </c>
      <c r="G58">
        <v>484</v>
      </c>
      <c r="H58">
        <v>128</v>
      </c>
      <c r="I58">
        <v>22</v>
      </c>
      <c r="J58">
        <v>2</v>
      </c>
      <c r="K58">
        <v>16</v>
      </c>
      <c r="L58">
        <v>42</v>
      </c>
      <c r="M58">
        <v>100</v>
      </c>
      <c r="N58">
        <v>40</v>
      </c>
      <c r="O58" s="71" t="s">
        <v>290</v>
      </c>
    </row>
    <row r="59" spans="1:15" ht="38.25">
      <c r="A59">
        <v>57</v>
      </c>
      <c r="B59" t="s">
        <v>291</v>
      </c>
      <c r="C59" t="s">
        <v>292</v>
      </c>
      <c r="D59" t="s">
        <v>215</v>
      </c>
      <c r="E59" t="s">
        <v>134</v>
      </c>
      <c r="F59" t="s">
        <v>293</v>
      </c>
      <c r="G59">
        <v>559</v>
      </c>
      <c r="H59">
        <v>147</v>
      </c>
      <c r="I59">
        <v>29</v>
      </c>
      <c r="J59">
        <v>2</v>
      </c>
      <c r="K59">
        <v>27</v>
      </c>
      <c r="L59">
        <v>23</v>
      </c>
      <c r="M59">
        <v>115</v>
      </c>
      <c r="N59">
        <v>40</v>
      </c>
      <c r="O59" s="71" t="s">
        <v>294</v>
      </c>
    </row>
    <row r="60" spans="1:15" ht="38.25">
      <c r="A60">
        <v>58</v>
      </c>
      <c r="B60" t="s">
        <v>295</v>
      </c>
      <c r="C60" t="s">
        <v>296</v>
      </c>
      <c r="D60" t="s">
        <v>215</v>
      </c>
      <c r="E60" t="s">
        <v>122</v>
      </c>
      <c r="G60">
        <v>351</v>
      </c>
      <c r="H60">
        <v>95</v>
      </c>
      <c r="I60">
        <v>22</v>
      </c>
      <c r="J60">
        <v>0</v>
      </c>
      <c r="K60">
        <v>13</v>
      </c>
      <c r="L60">
        <v>34</v>
      </c>
      <c r="M60">
        <v>51</v>
      </c>
      <c r="N60">
        <v>40</v>
      </c>
      <c r="O60" s="71" t="s">
        <v>210</v>
      </c>
    </row>
    <row r="61" spans="1:15" ht="38.25">
      <c r="A61">
        <v>59</v>
      </c>
      <c r="B61" t="s">
        <v>297</v>
      </c>
      <c r="C61" t="s">
        <v>298</v>
      </c>
      <c r="D61" t="s">
        <v>215</v>
      </c>
      <c r="E61" t="s">
        <v>155</v>
      </c>
      <c r="G61">
        <v>202</v>
      </c>
      <c r="H61">
        <v>52</v>
      </c>
      <c r="I61">
        <v>13</v>
      </c>
      <c r="J61">
        <v>0</v>
      </c>
      <c r="K61">
        <v>7</v>
      </c>
      <c r="L61">
        <v>48</v>
      </c>
      <c r="M61">
        <v>46</v>
      </c>
      <c r="N61">
        <v>40</v>
      </c>
      <c r="O61" s="71" t="s">
        <v>299</v>
      </c>
    </row>
    <row r="62" spans="1:15" ht="38.25">
      <c r="A62">
        <v>60</v>
      </c>
      <c r="B62" t="s">
        <v>145</v>
      </c>
      <c r="C62" t="s">
        <v>300</v>
      </c>
      <c r="D62" t="s">
        <v>215</v>
      </c>
      <c r="E62" t="s">
        <v>122</v>
      </c>
      <c r="G62">
        <v>258</v>
      </c>
      <c r="H62">
        <v>74</v>
      </c>
      <c r="I62">
        <v>16</v>
      </c>
      <c r="J62">
        <v>2</v>
      </c>
      <c r="K62">
        <v>0</v>
      </c>
      <c r="L62">
        <v>26</v>
      </c>
      <c r="M62">
        <v>53</v>
      </c>
      <c r="N62">
        <v>40</v>
      </c>
      <c r="O62" s="71" t="s">
        <v>301</v>
      </c>
    </row>
    <row r="63" spans="1:15" ht="38.25">
      <c r="A63">
        <v>61</v>
      </c>
      <c r="B63" t="s">
        <v>295</v>
      </c>
      <c r="C63" t="s">
        <v>296</v>
      </c>
      <c r="D63" t="s">
        <v>302</v>
      </c>
      <c r="E63" t="s">
        <v>122</v>
      </c>
      <c r="G63">
        <v>351</v>
      </c>
      <c r="H63">
        <v>95</v>
      </c>
      <c r="I63">
        <v>22</v>
      </c>
      <c r="J63">
        <v>0</v>
      </c>
      <c r="K63">
        <v>13</v>
      </c>
      <c r="L63">
        <v>34</v>
      </c>
      <c r="M63">
        <v>51</v>
      </c>
      <c r="N63">
        <v>40</v>
      </c>
      <c r="O63" s="71" t="s">
        <v>210</v>
      </c>
    </row>
    <row r="64" spans="1:15" ht="38.25">
      <c r="A64">
        <v>62</v>
      </c>
      <c r="B64" t="s">
        <v>239</v>
      </c>
      <c r="C64" t="s">
        <v>240</v>
      </c>
      <c r="D64" t="s">
        <v>302</v>
      </c>
      <c r="E64" t="s">
        <v>134</v>
      </c>
      <c r="F64" t="s">
        <v>122</v>
      </c>
      <c r="G64">
        <v>464</v>
      </c>
      <c r="H64">
        <v>139</v>
      </c>
      <c r="I64">
        <v>28</v>
      </c>
      <c r="J64">
        <v>0</v>
      </c>
      <c r="K64">
        <v>21</v>
      </c>
      <c r="L64">
        <v>52</v>
      </c>
      <c r="M64">
        <v>90</v>
      </c>
      <c r="N64">
        <v>40</v>
      </c>
      <c r="O64" s="71" t="s">
        <v>241</v>
      </c>
    </row>
    <row r="65" spans="1:15" ht="38.25">
      <c r="A65">
        <v>63</v>
      </c>
      <c r="B65" t="s">
        <v>244</v>
      </c>
      <c r="C65" t="s">
        <v>245</v>
      </c>
      <c r="D65" t="s">
        <v>302</v>
      </c>
      <c r="E65" t="s">
        <v>141</v>
      </c>
      <c r="G65">
        <v>434</v>
      </c>
      <c r="H65">
        <v>130</v>
      </c>
      <c r="I65">
        <v>25</v>
      </c>
      <c r="J65">
        <v>2</v>
      </c>
      <c r="K65">
        <v>6</v>
      </c>
      <c r="L65">
        <v>39</v>
      </c>
      <c r="M65">
        <v>55</v>
      </c>
      <c r="N65">
        <v>40</v>
      </c>
      <c r="O65" s="71" t="s">
        <v>303</v>
      </c>
    </row>
    <row r="66" spans="1:15" ht="38.25">
      <c r="A66">
        <v>64</v>
      </c>
      <c r="B66" t="s">
        <v>297</v>
      </c>
      <c r="C66" t="s">
        <v>298</v>
      </c>
      <c r="D66" t="s">
        <v>302</v>
      </c>
      <c r="E66" t="s">
        <v>155</v>
      </c>
      <c r="G66">
        <v>202</v>
      </c>
      <c r="H66">
        <v>52</v>
      </c>
      <c r="I66">
        <v>13</v>
      </c>
      <c r="J66">
        <v>0</v>
      </c>
      <c r="K66">
        <v>7</v>
      </c>
      <c r="L66">
        <v>48</v>
      </c>
      <c r="M66">
        <v>46</v>
      </c>
      <c r="N66">
        <v>40</v>
      </c>
      <c r="O66" s="71" t="s">
        <v>299</v>
      </c>
    </row>
    <row r="67" spans="1:15" ht="38.25">
      <c r="A67">
        <v>65</v>
      </c>
      <c r="B67" t="s">
        <v>304</v>
      </c>
      <c r="C67" t="s">
        <v>305</v>
      </c>
      <c r="D67" t="s">
        <v>302</v>
      </c>
      <c r="E67" t="s">
        <v>134</v>
      </c>
      <c r="F67" t="s">
        <v>141</v>
      </c>
      <c r="G67">
        <v>50</v>
      </c>
      <c r="H67">
        <v>11</v>
      </c>
      <c r="I67">
        <v>2</v>
      </c>
      <c r="J67">
        <v>0</v>
      </c>
      <c r="K67">
        <v>1</v>
      </c>
      <c r="L67">
        <v>4</v>
      </c>
      <c r="M67">
        <v>12</v>
      </c>
      <c r="N67">
        <v>40</v>
      </c>
      <c r="O67" s="71" t="s">
        <v>306</v>
      </c>
    </row>
    <row r="68" spans="1:15" ht="38.25">
      <c r="A68">
        <v>66</v>
      </c>
      <c r="B68" t="s">
        <v>307</v>
      </c>
      <c r="C68" t="s">
        <v>308</v>
      </c>
      <c r="D68" t="s">
        <v>302</v>
      </c>
      <c r="E68" t="s">
        <v>131</v>
      </c>
      <c r="F68" t="s">
        <v>160</v>
      </c>
      <c r="G68">
        <v>19</v>
      </c>
      <c r="H68">
        <v>4</v>
      </c>
      <c r="I68">
        <v>2</v>
      </c>
      <c r="J68">
        <v>0</v>
      </c>
      <c r="K68">
        <v>0</v>
      </c>
      <c r="L68">
        <v>0</v>
      </c>
      <c r="M68">
        <v>7</v>
      </c>
      <c r="N68">
        <v>40</v>
      </c>
      <c r="O68" s="71" t="s">
        <v>313</v>
      </c>
    </row>
    <row r="69" spans="1:15" ht="38.25">
      <c r="A69">
        <v>67</v>
      </c>
      <c r="B69" t="s">
        <v>309</v>
      </c>
      <c r="C69" t="s">
        <v>310</v>
      </c>
      <c r="D69" t="s">
        <v>302</v>
      </c>
      <c r="E69" t="s">
        <v>122</v>
      </c>
      <c r="G69">
        <v>4</v>
      </c>
      <c r="H69">
        <v>1</v>
      </c>
      <c r="I69">
        <v>1</v>
      </c>
      <c r="J69">
        <v>0</v>
      </c>
      <c r="K69">
        <v>0</v>
      </c>
      <c r="L69">
        <v>1</v>
      </c>
      <c r="M69">
        <v>1</v>
      </c>
      <c r="N69">
        <v>40</v>
      </c>
      <c r="O69" s="71" t="s">
        <v>312</v>
      </c>
    </row>
    <row r="70" spans="1:15" ht="38.25">
      <c r="A70">
        <v>68</v>
      </c>
      <c r="B70" t="s">
        <v>145</v>
      </c>
      <c r="C70" t="s">
        <v>237</v>
      </c>
      <c r="D70" t="s">
        <v>302</v>
      </c>
      <c r="E70" t="s">
        <v>160</v>
      </c>
      <c r="F70" t="s">
        <v>134</v>
      </c>
      <c r="G70">
        <v>380</v>
      </c>
      <c r="H70">
        <v>116</v>
      </c>
      <c r="I70">
        <v>16</v>
      </c>
      <c r="J70">
        <v>0</v>
      </c>
      <c r="K70">
        <v>7</v>
      </c>
      <c r="L70">
        <v>31</v>
      </c>
      <c r="M70">
        <v>75</v>
      </c>
      <c r="N70">
        <v>40</v>
      </c>
      <c r="O70" s="71" t="s">
        <v>311</v>
      </c>
    </row>
    <row r="71" spans="1:15" ht="38.25">
      <c r="A71">
        <v>69</v>
      </c>
      <c r="B71" t="s">
        <v>231</v>
      </c>
      <c r="C71" t="s">
        <v>232</v>
      </c>
      <c r="D71" t="s">
        <v>302</v>
      </c>
      <c r="E71" t="s">
        <v>134</v>
      </c>
      <c r="F71" t="s">
        <v>314</v>
      </c>
      <c r="G71">
        <v>461</v>
      </c>
      <c r="H71">
        <v>143</v>
      </c>
      <c r="I71">
        <v>35</v>
      </c>
      <c r="J71">
        <v>3</v>
      </c>
      <c r="K71">
        <v>8</v>
      </c>
      <c r="L71">
        <v>22</v>
      </c>
      <c r="M71">
        <v>62</v>
      </c>
      <c r="N71">
        <v>40</v>
      </c>
      <c r="O71" s="71" t="s">
        <v>233</v>
      </c>
    </row>
    <row r="72" spans="1:15" ht="38.25">
      <c r="A72">
        <v>70</v>
      </c>
      <c r="B72" t="s">
        <v>315</v>
      </c>
      <c r="C72" t="s">
        <v>316</v>
      </c>
      <c r="D72" t="s">
        <v>302</v>
      </c>
      <c r="E72" t="s">
        <v>122</v>
      </c>
      <c r="G72">
        <v>43</v>
      </c>
      <c r="H72">
        <v>7</v>
      </c>
      <c r="I72">
        <v>1</v>
      </c>
      <c r="J72">
        <v>0</v>
      </c>
      <c r="K72">
        <v>2</v>
      </c>
      <c r="L72">
        <v>4</v>
      </c>
      <c r="M72">
        <v>11</v>
      </c>
      <c r="N72">
        <v>40</v>
      </c>
      <c r="O72" s="71" t="s">
        <v>317</v>
      </c>
    </row>
    <row r="73" spans="1:15" ht="38.25">
      <c r="A73">
        <v>71</v>
      </c>
      <c r="B73" t="s">
        <v>318</v>
      </c>
      <c r="C73" t="s">
        <v>319</v>
      </c>
      <c r="D73" t="s">
        <v>302</v>
      </c>
      <c r="E73" t="s">
        <v>122</v>
      </c>
      <c r="G73">
        <v>38</v>
      </c>
      <c r="H73">
        <v>5</v>
      </c>
      <c r="I73">
        <v>2</v>
      </c>
      <c r="J73">
        <v>0</v>
      </c>
      <c r="K73">
        <v>0</v>
      </c>
      <c r="L73">
        <v>5</v>
      </c>
      <c r="M73">
        <v>21</v>
      </c>
      <c r="N73">
        <v>40</v>
      </c>
      <c r="O73" s="71" t="s">
        <v>320</v>
      </c>
    </row>
    <row r="74" spans="1:15" ht="38.25">
      <c r="A74">
        <v>72</v>
      </c>
      <c r="B74" t="s">
        <v>169</v>
      </c>
      <c r="C74" t="s">
        <v>321</v>
      </c>
      <c r="D74" t="s">
        <v>302</v>
      </c>
      <c r="E74" t="s">
        <v>131</v>
      </c>
      <c r="G74">
        <v>321</v>
      </c>
      <c r="H74">
        <v>91</v>
      </c>
      <c r="I74">
        <v>14</v>
      </c>
      <c r="J74">
        <v>6</v>
      </c>
      <c r="K74">
        <v>4</v>
      </c>
      <c r="L74">
        <v>29</v>
      </c>
      <c r="M74">
        <v>47</v>
      </c>
      <c r="N74">
        <v>40</v>
      </c>
      <c r="O74" s="71" t="s">
        <v>322</v>
      </c>
    </row>
    <row r="75" spans="1:15" ht="38.25">
      <c r="A75">
        <v>73</v>
      </c>
      <c r="B75" t="s">
        <v>323</v>
      </c>
      <c r="C75" t="s">
        <v>324</v>
      </c>
      <c r="D75" t="s">
        <v>302</v>
      </c>
      <c r="E75" t="s">
        <v>141</v>
      </c>
      <c r="G75">
        <v>408</v>
      </c>
      <c r="H75">
        <v>106</v>
      </c>
      <c r="I75">
        <v>25</v>
      </c>
      <c r="J75">
        <v>2</v>
      </c>
      <c r="K75">
        <v>30</v>
      </c>
      <c r="L75">
        <v>33</v>
      </c>
      <c r="M75">
        <v>79</v>
      </c>
      <c r="N75">
        <v>40</v>
      </c>
      <c r="O75" s="71" t="s">
        <v>325</v>
      </c>
    </row>
    <row r="76" spans="1:15" ht="38.25">
      <c r="A76">
        <v>74</v>
      </c>
      <c r="B76" t="s">
        <v>236</v>
      </c>
      <c r="C76" t="s">
        <v>326</v>
      </c>
      <c r="D76" t="s">
        <v>302</v>
      </c>
      <c r="E76" t="s">
        <v>122</v>
      </c>
      <c r="G76">
        <v>32</v>
      </c>
      <c r="H76">
        <v>8</v>
      </c>
      <c r="I76">
        <v>3</v>
      </c>
      <c r="J76">
        <v>1</v>
      </c>
      <c r="K76">
        <v>0</v>
      </c>
      <c r="L76">
        <v>2</v>
      </c>
      <c r="M76">
        <v>7</v>
      </c>
      <c r="N76">
        <v>40</v>
      </c>
      <c r="O76" s="71" t="s">
        <v>327</v>
      </c>
    </row>
    <row r="77" spans="1:15" ht="38.25">
      <c r="A77">
        <v>75</v>
      </c>
      <c r="B77" t="s">
        <v>283</v>
      </c>
      <c r="C77" t="s">
        <v>284</v>
      </c>
      <c r="D77" t="s">
        <v>302</v>
      </c>
      <c r="E77" t="s">
        <v>131</v>
      </c>
      <c r="F77" t="s">
        <v>160</v>
      </c>
      <c r="G77">
        <v>447</v>
      </c>
      <c r="H77">
        <v>120</v>
      </c>
      <c r="I77">
        <v>22</v>
      </c>
      <c r="J77">
        <v>11</v>
      </c>
      <c r="K77">
        <v>4</v>
      </c>
      <c r="L77">
        <v>31</v>
      </c>
      <c r="M77">
        <v>51</v>
      </c>
      <c r="N77">
        <v>40</v>
      </c>
      <c r="O77" s="71" t="s">
        <v>285</v>
      </c>
    </row>
    <row r="78" spans="1:15" ht="38.25">
      <c r="A78">
        <v>76</v>
      </c>
      <c r="B78" t="s">
        <v>328</v>
      </c>
      <c r="C78" t="s">
        <v>329</v>
      </c>
      <c r="D78" t="s">
        <v>302</v>
      </c>
      <c r="E78" t="s">
        <v>122</v>
      </c>
      <c r="G78">
        <v>351</v>
      </c>
      <c r="H78">
        <v>110</v>
      </c>
      <c r="I78">
        <v>19</v>
      </c>
      <c r="J78">
        <v>6</v>
      </c>
      <c r="K78">
        <v>14</v>
      </c>
      <c r="L78">
        <v>38</v>
      </c>
      <c r="M78">
        <v>77</v>
      </c>
      <c r="N78">
        <v>40</v>
      </c>
      <c r="O78" s="71" t="s">
        <v>330</v>
      </c>
    </row>
    <row r="79" spans="1:15" ht="38.25">
      <c r="A79">
        <v>77</v>
      </c>
      <c r="B79" t="s">
        <v>331</v>
      </c>
      <c r="C79" t="s">
        <v>332</v>
      </c>
      <c r="D79" t="s">
        <v>302</v>
      </c>
      <c r="E79" t="s">
        <v>122</v>
      </c>
      <c r="G79">
        <v>225</v>
      </c>
      <c r="H79">
        <v>66</v>
      </c>
      <c r="I79">
        <v>19</v>
      </c>
      <c r="J79">
        <v>2</v>
      </c>
      <c r="K79">
        <v>8</v>
      </c>
      <c r="L79">
        <v>17</v>
      </c>
      <c r="M79">
        <v>58</v>
      </c>
      <c r="N79">
        <v>40</v>
      </c>
      <c r="O79" s="71" t="s">
        <v>333</v>
      </c>
    </row>
    <row r="80" spans="1:15" ht="38.25">
      <c r="A80">
        <v>78</v>
      </c>
      <c r="B80" t="s">
        <v>334</v>
      </c>
      <c r="C80" t="s">
        <v>335</v>
      </c>
      <c r="D80" t="s">
        <v>302</v>
      </c>
      <c r="E80" t="s">
        <v>122</v>
      </c>
      <c r="G80">
        <v>102</v>
      </c>
      <c r="H80">
        <v>29</v>
      </c>
      <c r="I80">
        <v>3</v>
      </c>
      <c r="J80">
        <v>0</v>
      </c>
      <c r="K80">
        <v>8</v>
      </c>
      <c r="L80">
        <v>18</v>
      </c>
      <c r="M80">
        <v>38</v>
      </c>
      <c r="N80">
        <v>40</v>
      </c>
      <c r="O80" s="71" t="s">
        <v>336</v>
      </c>
    </row>
    <row r="81" spans="1:15" ht="38.25">
      <c r="A81">
        <v>79</v>
      </c>
      <c r="B81" t="s">
        <v>337</v>
      </c>
      <c r="C81" t="s">
        <v>338</v>
      </c>
      <c r="D81" t="s">
        <v>302</v>
      </c>
      <c r="E81" t="s">
        <v>155</v>
      </c>
      <c r="G81">
        <v>297</v>
      </c>
      <c r="H81">
        <v>40</v>
      </c>
      <c r="I81">
        <v>19</v>
      </c>
      <c r="J81">
        <v>2</v>
      </c>
      <c r="K81">
        <v>10</v>
      </c>
      <c r="L81">
        <v>25</v>
      </c>
      <c r="M81">
        <v>74</v>
      </c>
      <c r="N81">
        <v>40</v>
      </c>
      <c r="O81" s="71" t="s">
        <v>339</v>
      </c>
    </row>
    <row r="82" spans="1:15" ht="38.25">
      <c r="A82">
        <v>80</v>
      </c>
      <c r="B82" t="s">
        <v>340</v>
      </c>
      <c r="C82" t="s">
        <v>341</v>
      </c>
      <c r="D82" t="s">
        <v>302</v>
      </c>
      <c r="E82" t="s">
        <v>134</v>
      </c>
      <c r="F82" t="s">
        <v>314</v>
      </c>
      <c r="G82">
        <v>13</v>
      </c>
      <c r="H82">
        <v>3</v>
      </c>
      <c r="I82">
        <v>2</v>
      </c>
      <c r="J82">
        <v>0</v>
      </c>
      <c r="K82">
        <v>0</v>
      </c>
      <c r="L82">
        <v>1</v>
      </c>
      <c r="M82">
        <v>3</v>
      </c>
      <c r="N82">
        <v>40</v>
      </c>
      <c r="O82" s="71" t="s">
        <v>342</v>
      </c>
    </row>
    <row r="83" spans="1:15" ht="38.25">
      <c r="A83">
        <v>81</v>
      </c>
      <c r="B83" t="s">
        <v>137</v>
      </c>
      <c r="C83" t="s">
        <v>138</v>
      </c>
      <c r="D83" t="s">
        <v>343</v>
      </c>
      <c r="E83" t="s">
        <v>122</v>
      </c>
      <c r="G83">
        <v>601</v>
      </c>
      <c r="H83">
        <v>190</v>
      </c>
      <c r="I83">
        <v>15</v>
      </c>
      <c r="J83">
        <v>9</v>
      </c>
      <c r="K83">
        <v>1</v>
      </c>
      <c r="L83">
        <v>69</v>
      </c>
      <c r="M83">
        <v>90</v>
      </c>
      <c r="N83">
        <v>40</v>
      </c>
      <c r="O83" s="71" t="s">
        <v>192</v>
      </c>
    </row>
    <row r="84" spans="1:15" ht="38.25">
      <c r="A84">
        <v>82</v>
      </c>
      <c r="B84" t="s">
        <v>183</v>
      </c>
      <c r="C84" t="s">
        <v>344</v>
      </c>
      <c r="D84" t="s">
        <v>343</v>
      </c>
      <c r="E84" t="s">
        <v>155</v>
      </c>
      <c r="G84">
        <v>48</v>
      </c>
      <c r="H84">
        <v>12</v>
      </c>
      <c r="I84">
        <v>3</v>
      </c>
      <c r="J84">
        <v>0</v>
      </c>
      <c r="K84">
        <v>1</v>
      </c>
      <c r="L84">
        <v>0</v>
      </c>
      <c r="M84">
        <v>6</v>
      </c>
      <c r="N84">
        <v>40</v>
      </c>
      <c r="O84" s="71" t="s">
        <v>345</v>
      </c>
    </row>
    <row r="85" spans="1:15" ht="38.25">
      <c r="A85">
        <v>83</v>
      </c>
      <c r="B85" t="s">
        <v>346</v>
      </c>
      <c r="C85" t="s">
        <v>347</v>
      </c>
      <c r="D85" t="s">
        <v>343</v>
      </c>
      <c r="E85" t="s">
        <v>131</v>
      </c>
      <c r="F85" t="s">
        <v>160</v>
      </c>
      <c r="G85">
        <v>357</v>
      </c>
      <c r="H85">
        <v>89</v>
      </c>
      <c r="I85">
        <v>14</v>
      </c>
      <c r="J85">
        <v>2</v>
      </c>
      <c r="K85">
        <v>1</v>
      </c>
      <c r="L85">
        <v>33</v>
      </c>
      <c r="M85">
        <v>40</v>
      </c>
      <c r="N85">
        <v>40</v>
      </c>
      <c r="O85" s="71" t="s">
        <v>348</v>
      </c>
    </row>
    <row r="86" spans="1:15" ht="38.25">
      <c r="A86">
        <v>84</v>
      </c>
      <c r="B86" t="s">
        <v>349</v>
      </c>
      <c r="C86" t="s">
        <v>350</v>
      </c>
      <c r="D86" t="s">
        <v>343</v>
      </c>
      <c r="E86" t="s">
        <v>122</v>
      </c>
      <c r="G86">
        <v>109</v>
      </c>
      <c r="H86">
        <v>31</v>
      </c>
      <c r="I86">
        <v>3</v>
      </c>
      <c r="J86">
        <v>2</v>
      </c>
      <c r="K86">
        <v>1</v>
      </c>
      <c r="L86">
        <v>12</v>
      </c>
      <c r="M86">
        <v>36</v>
      </c>
      <c r="N86">
        <v>40</v>
      </c>
      <c r="O86" s="71" t="s">
        <v>351</v>
      </c>
    </row>
    <row r="87" spans="1:15" ht="38.25">
      <c r="A87">
        <v>85</v>
      </c>
      <c r="B87" t="s">
        <v>173</v>
      </c>
      <c r="C87" t="s">
        <v>174</v>
      </c>
      <c r="D87" t="s">
        <v>343</v>
      </c>
      <c r="E87" t="s">
        <v>122</v>
      </c>
      <c r="G87">
        <v>302</v>
      </c>
      <c r="H87">
        <v>84</v>
      </c>
      <c r="I87">
        <v>19</v>
      </c>
      <c r="J87">
        <v>0</v>
      </c>
      <c r="K87">
        <v>8</v>
      </c>
      <c r="L87">
        <v>29</v>
      </c>
      <c r="M87">
        <v>66</v>
      </c>
      <c r="N87">
        <v>40</v>
      </c>
      <c r="O87" s="71" t="s">
        <v>208</v>
      </c>
    </row>
    <row r="88" spans="1:15" ht="38.25">
      <c r="A88">
        <v>86</v>
      </c>
      <c r="B88" t="s">
        <v>169</v>
      </c>
      <c r="C88" t="s">
        <v>170</v>
      </c>
      <c r="D88" t="s">
        <v>343</v>
      </c>
      <c r="E88" t="s">
        <v>160</v>
      </c>
      <c r="F88" t="s">
        <v>247</v>
      </c>
      <c r="G88">
        <v>559</v>
      </c>
      <c r="H88">
        <v>156</v>
      </c>
      <c r="I88">
        <v>26</v>
      </c>
      <c r="J88">
        <v>2</v>
      </c>
      <c r="K88">
        <v>29</v>
      </c>
      <c r="L88">
        <v>57</v>
      </c>
      <c r="M88">
        <v>88</v>
      </c>
      <c r="N88">
        <v>40</v>
      </c>
      <c r="O88" s="71" t="s">
        <v>206</v>
      </c>
    </row>
    <row r="89" spans="1:15" ht="38.25">
      <c r="A89">
        <v>87</v>
      </c>
      <c r="B89" t="s">
        <v>352</v>
      </c>
      <c r="C89" t="s">
        <v>353</v>
      </c>
      <c r="D89" t="s">
        <v>343</v>
      </c>
      <c r="E89" t="s">
        <v>122</v>
      </c>
      <c r="F89" t="s">
        <v>134</v>
      </c>
      <c r="G89">
        <v>13</v>
      </c>
      <c r="H89">
        <v>2</v>
      </c>
      <c r="I89">
        <v>1</v>
      </c>
      <c r="J89">
        <v>0</v>
      </c>
      <c r="K89">
        <v>0</v>
      </c>
      <c r="L89">
        <v>2</v>
      </c>
      <c r="M89">
        <v>1</v>
      </c>
      <c r="N89">
        <v>40</v>
      </c>
      <c r="O89" s="71" t="s">
        <v>354</v>
      </c>
    </row>
    <row r="90" spans="1:15" ht="38.25">
      <c r="A90">
        <v>88</v>
      </c>
      <c r="B90" t="s">
        <v>125</v>
      </c>
      <c r="C90" t="s">
        <v>126</v>
      </c>
      <c r="D90" t="s">
        <v>343</v>
      </c>
      <c r="E90" t="s">
        <v>122</v>
      </c>
      <c r="G90">
        <v>559</v>
      </c>
      <c r="H90">
        <v>183</v>
      </c>
      <c r="I90">
        <v>35</v>
      </c>
      <c r="J90">
        <v>3</v>
      </c>
      <c r="K90">
        <v>40</v>
      </c>
      <c r="L90">
        <v>98</v>
      </c>
      <c r="M90">
        <v>86</v>
      </c>
      <c r="N90">
        <v>40</v>
      </c>
      <c r="O90" s="71" t="s">
        <v>187</v>
      </c>
    </row>
    <row r="91" spans="1:15" ht="38.25">
      <c r="A91">
        <v>89</v>
      </c>
      <c r="B91" t="s">
        <v>355</v>
      </c>
      <c r="C91" t="s">
        <v>356</v>
      </c>
      <c r="D91" t="s">
        <v>343</v>
      </c>
      <c r="E91" t="s">
        <v>155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40</v>
      </c>
      <c r="O91" s="71" t="s">
        <v>357</v>
      </c>
    </row>
    <row r="92" spans="1:15" ht="38.25">
      <c r="A92">
        <v>90</v>
      </c>
      <c r="B92" t="s">
        <v>346</v>
      </c>
      <c r="C92" t="s">
        <v>358</v>
      </c>
      <c r="D92" t="s">
        <v>343</v>
      </c>
      <c r="E92" t="s">
        <v>134</v>
      </c>
      <c r="F92" t="s">
        <v>141</v>
      </c>
      <c r="G92">
        <v>57</v>
      </c>
      <c r="H92">
        <v>12</v>
      </c>
      <c r="I92">
        <v>1</v>
      </c>
      <c r="J92">
        <v>0</v>
      </c>
      <c r="K92">
        <v>1</v>
      </c>
      <c r="L92">
        <v>15</v>
      </c>
      <c r="M92">
        <v>17</v>
      </c>
      <c r="N92">
        <v>40</v>
      </c>
      <c r="O92" s="71" t="s">
        <v>359</v>
      </c>
    </row>
    <row r="93" spans="1:15" ht="38.25">
      <c r="A93">
        <v>91</v>
      </c>
      <c r="B93" t="s">
        <v>360</v>
      </c>
      <c r="C93" t="s">
        <v>361</v>
      </c>
      <c r="D93" t="s">
        <v>343</v>
      </c>
      <c r="E93" t="s">
        <v>122</v>
      </c>
      <c r="G93">
        <v>12</v>
      </c>
      <c r="H93">
        <v>5</v>
      </c>
      <c r="I93">
        <v>0</v>
      </c>
      <c r="J93">
        <v>0</v>
      </c>
      <c r="K93">
        <v>1</v>
      </c>
      <c r="L93">
        <v>2</v>
      </c>
      <c r="M93">
        <v>1</v>
      </c>
      <c r="N93">
        <v>40</v>
      </c>
      <c r="O93" s="71" t="s">
        <v>362</v>
      </c>
    </row>
    <row r="94" spans="1:15" ht="38.25">
      <c r="A94">
        <v>92</v>
      </c>
      <c r="B94" t="s">
        <v>363</v>
      </c>
      <c r="C94" t="s">
        <v>364</v>
      </c>
      <c r="D94" t="s">
        <v>343</v>
      </c>
      <c r="E94" t="s">
        <v>122</v>
      </c>
      <c r="F94" t="s">
        <v>141</v>
      </c>
      <c r="G94">
        <v>32</v>
      </c>
      <c r="H94">
        <v>6</v>
      </c>
      <c r="I94">
        <v>1</v>
      </c>
      <c r="J94">
        <v>0</v>
      </c>
      <c r="K94">
        <v>0</v>
      </c>
      <c r="L94">
        <v>4</v>
      </c>
      <c r="M94">
        <v>9</v>
      </c>
      <c r="N94">
        <v>40</v>
      </c>
      <c r="O94" s="71" t="s">
        <v>365</v>
      </c>
    </row>
    <row r="95" spans="1:15" ht="38.25">
      <c r="A95">
        <v>93</v>
      </c>
      <c r="B95" t="s">
        <v>366</v>
      </c>
      <c r="C95" t="s">
        <v>367</v>
      </c>
      <c r="D95" t="s">
        <v>343</v>
      </c>
      <c r="E95" t="s">
        <v>122</v>
      </c>
      <c r="G95">
        <v>30</v>
      </c>
      <c r="H95">
        <v>13</v>
      </c>
      <c r="I95">
        <v>0</v>
      </c>
      <c r="J95">
        <v>0</v>
      </c>
      <c r="K95">
        <v>1</v>
      </c>
      <c r="L95">
        <v>1</v>
      </c>
      <c r="M95">
        <v>3</v>
      </c>
      <c r="N95">
        <v>40</v>
      </c>
      <c r="O95" s="71" t="s">
        <v>368</v>
      </c>
    </row>
    <row r="96" spans="1:15" ht="38.25">
      <c r="A96">
        <v>94</v>
      </c>
      <c r="B96" t="s">
        <v>369</v>
      </c>
      <c r="C96" t="s">
        <v>370</v>
      </c>
      <c r="D96" t="s">
        <v>343</v>
      </c>
      <c r="E96" t="s">
        <v>155</v>
      </c>
      <c r="F96" t="s">
        <v>371</v>
      </c>
      <c r="G96">
        <v>31</v>
      </c>
      <c r="H96">
        <v>5</v>
      </c>
      <c r="I96">
        <v>2</v>
      </c>
      <c r="J96">
        <v>0</v>
      </c>
      <c r="K96">
        <v>0</v>
      </c>
      <c r="L96">
        <v>1</v>
      </c>
      <c r="M96">
        <v>11</v>
      </c>
      <c r="N96">
        <v>40</v>
      </c>
      <c r="O96" s="71" t="s">
        <v>372</v>
      </c>
    </row>
    <row r="97" spans="1:15" ht="38.25">
      <c r="A97">
        <v>95</v>
      </c>
      <c r="B97" t="s">
        <v>373</v>
      </c>
      <c r="C97" t="s">
        <v>374</v>
      </c>
      <c r="D97" t="s">
        <v>343</v>
      </c>
      <c r="E97" t="s">
        <v>134</v>
      </c>
      <c r="F97" t="s">
        <v>375</v>
      </c>
      <c r="G97">
        <v>229</v>
      </c>
      <c r="H97">
        <v>68</v>
      </c>
      <c r="I97">
        <v>13</v>
      </c>
      <c r="J97">
        <v>1</v>
      </c>
      <c r="K97">
        <v>0</v>
      </c>
      <c r="L97">
        <v>23</v>
      </c>
      <c r="M97">
        <v>46</v>
      </c>
      <c r="N97">
        <v>40</v>
      </c>
      <c r="O97" s="71" t="s">
        <v>376</v>
      </c>
    </row>
    <row r="98" spans="1:15" ht="38.25">
      <c r="A98">
        <v>96</v>
      </c>
      <c r="B98" t="s">
        <v>161</v>
      </c>
      <c r="C98" t="s">
        <v>162</v>
      </c>
      <c r="D98" t="s">
        <v>343</v>
      </c>
      <c r="E98" t="s">
        <v>131</v>
      </c>
      <c r="G98">
        <v>560</v>
      </c>
      <c r="H98">
        <v>162</v>
      </c>
      <c r="I98">
        <v>38</v>
      </c>
      <c r="J98">
        <v>1</v>
      </c>
      <c r="K98">
        <v>19</v>
      </c>
      <c r="L98">
        <v>46</v>
      </c>
      <c r="M98">
        <v>145</v>
      </c>
      <c r="N98">
        <v>40</v>
      </c>
      <c r="O98" s="71" t="s">
        <v>202</v>
      </c>
    </row>
    <row r="99" spans="1:15" ht="38.25">
      <c r="A99">
        <v>97</v>
      </c>
      <c r="B99" t="s">
        <v>377</v>
      </c>
      <c r="C99" t="s">
        <v>378</v>
      </c>
      <c r="D99" t="s">
        <v>343</v>
      </c>
      <c r="E99" t="s">
        <v>122</v>
      </c>
      <c r="G99">
        <v>276</v>
      </c>
      <c r="H99">
        <v>67</v>
      </c>
      <c r="I99">
        <v>16</v>
      </c>
      <c r="J99">
        <v>0</v>
      </c>
      <c r="K99">
        <v>9</v>
      </c>
      <c r="L99">
        <v>34</v>
      </c>
      <c r="M99">
        <v>70</v>
      </c>
      <c r="N99">
        <v>40</v>
      </c>
      <c r="O99" s="71" t="s">
        <v>379</v>
      </c>
    </row>
    <row r="100" spans="1:15" ht="38.25">
      <c r="A100">
        <v>98</v>
      </c>
      <c r="B100" t="s">
        <v>380</v>
      </c>
      <c r="C100" t="s">
        <v>381</v>
      </c>
      <c r="D100" t="s">
        <v>343</v>
      </c>
      <c r="E100" t="s">
        <v>160</v>
      </c>
      <c r="F100" t="s">
        <v>383</v>
      </c>
      <c r="G100">
        <v>5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40</v>
      </c>
      <c r="O100" s="71" t="s">
        <v>382</v>
      </c>
    </row>
    <row r="101" spans="1:15" ht="38.25">
      <c r="A101">
        <v>99</v>
      </c>
      <c r="B101" t="s">
        <v>171</v>
      </c>
      <c r="C101" t="s">
        <v>172</v>
      </c>
      <c r="D101" t="s">
        <v>343</v>
      </c>
      <c r="E101" t="s">
        <v>131</v>
      </c>
      <c r="F101" t="s">
        <v>134</v>
      </c>
      <c r="G101">
        <v>572</v>
      </c>
      <c r="H101">
        <v>159</v>
      </c>
      <c r="I101">
        <v>27</v>
      </c>
      <c r="J101">
        <v>1</v>
      </c>
      <c r="K101">
        <v>9</v>
      </c>
      <c r="L101">
        <v>53</v>
      </c>
      <c r="M101">
        <v>115</v>
      </c>
      <c r="N101">
        <v>40</v>
      </c>
      <c r="O101" s="71" t="s">
        <v>207</v>
      </c>
    </row>
    <row r="102" spans="1:15" ht="38.25">
      <c r="A102">
        <v>100</v>
      </c>
      <c r="B102" t="s">
        <v>176</v>
      </c>
      <c r="C102" t="s">
        <v>177</v>
      </c>
      <c r="D102" t="s">
        <v>343</v>
      </c>
      <c r="E102" t="s">
        <v>155</v>
      </c>
      <c r="G102">
        <v>499</v>
      </c>
      <c r="H102">
        <v>135</v>
      </c>
      <c r="I102">
        <v>26</v>
      </c>
      <c r="J102">
        <v>0</v>
      </c>
      <c r="K102">
        <v>19</v>
      </c>
      <c r="L102">
        <v>32</v>
      </c>
      <c r="M102">
        <v>113</v>
      </c>
      <c r="N102">
        <v>40</v>
      </c>
      <c r="O102" s="71" t="s">
        <v>210</v>
      </c>
    </row>
    <row r="103" ht="12.75">
      <c r="A103">
        <v>101</v>
      </c>
    </row>
    <row r="104" ht="12.75">
      <c r="A104">
        <v>102</v>
      </c>
    </row>
    <row r="105" ht="12.75">
      <c r="A105">
        <v>103</v>
      </c>
    </row>
    <row r="106" ht="12.75">
      <c r="A106">
        <v>104</v>
      </c>
    </row>
    <row r="107" ht="12.75">
      <c r="A107">
        <v>105</v>
      </c>
    </row>
    <row r="108" ht="12.75">
      <c r="A108">
        <v>106</v>
      </c>
    </row>
    <row r="109" ht="12.75">
      <c r="A109">
        <v>107</v>
      </c>
    </row>
    <row r="110" ht="12.75">
      <c r="A110">
        <v>108</v>
      </c>
    </row>
    <row r="111" ht="12.75">
      <c r="A111">
        <v>109</v>
      </c>
    </row>
    <row r="112" ht="12.75">
      <c r="A112">
        <v>110</v>
      </c>
    </row>
    <row r="113" ht="12.75">
      <c r="A113">
        <v>111</v>
      </c>
    </row>
    <row r="114" ht="12.75">
      <c r="A114">
        <v>112</v>
      </c>
    </row>
    <row r="115" ht="12.75">
      <c r="A115">
        <v>113</v>
      </c>
    </row>
    <row r="116" ht="12.75">
      <c r="A116">
        <v>114</v>
      </c>
    </row>
    <row r="117" ht="12.75">
      <c r="A117">
        <v>115</v>
      </c>
    </row>
    <row r="118" ht="12.75">
      <c r="A118">
        <v>116</v>
      </c>
    </row>
    <row r="119" ht="12.75">
      <c r="A119">
        <v>117</v>
      </c>
    </row>
    <row r="120" ht="12.75">
      <c r="A120">
        <v>118</v>
      </c>
    </row>
    <row r="121" ht="12.75">
      <c r="A121">
        <v>119</v>
      </c>
    </row>
    <row r="122" ht="12.75">
      <c r="A122">
        <v>120</v>
      </c>
    </row>
    <row r="123" ht="12.75">
      <c r="A123">
        <v>121</v>
      </c>
    </row>
    <row r="124" ht="12.75">
      <c r="A124">
        <v>122</v>
      </c>
    </row>
    <row r="125" ht="12.75">
      <c r="A125">
        <v>123</v>
      </c>
    </row>
    <row r="126" ht="12.75">
      <c r="A126">
        <v>124</v>
      </c>
    </row>
    <row r="127" ht="12.75">
      <c r="A127">
        <v>125</v>
      </c>
    </row>
    <row r="128" ht="12.75">
      <c r="A128">
        <v>126</v>
      </c>
    </row>
    <row r="129" ht="12.75">
      <c r="A129">
        <v>127</v>
      </c>
    </row>
    <row r="130" ht="12.75">
      <c r="A130">
        <v>128</v>
      </c>
    </row>
    <row r="131" ht="12.75">
      <c r="A131">
        <v>129</v>
      </c>
    </row>
    <row r="132" ht="12.75">
      <c r="A132">
        <v>130</v>
      </c>
    </row>
    <row r="133" ht="12.75">
      <c r="A133">
        <v>131</v>
      </c>
    </row>
    <row r="134" ht="12.75">
      <c r="A134">
        <v>132</v>
      </c>
    </row>
    <row r="135" ht="12.75">
      <c r="A135">
        <v>133</v>
      </c>
    </row>
    <row r="136" ht="12.75">
      <c r="A136">
        <v>134</v>
      </c>
    </row>
    <row r="137" ht="12.75">
      <c r="A137">
        <v>135</v>
      </c>
    </row>
    <row r="138" ht="12.75">
      <c r="A138">
        <v>136</v>
      </c>
    </row>
    <row r="139" ht="12.75">
      <c r="A139">
        <v>137</v>
      </c>
    </row>
    <row r="140" ht="12.75">
      <c r="A140">
        <v>138</v>
      </c>
    </row>
    <row r="141" ht="12.75">
      <c r="A141">
        <v>139</v>
      </c>
    </row>
    <row r="142" ht="12.75">
      <c r="A142">
        <v>140</v>
      </c>
    </row>
    <row r="143" ht="12.75">
      <c r="A143">
        <v>141</v>
      </c>
    </row>
    <row r="144" ht="12.75">
      <c r="A144">
        <v>142</v>
      </c>
    </row>
    <row r="145" ht="12.75">
      <c r="A145">
        <v>143</v>
      </c>
    </row>
    <row r="146" ht="12.75">
      <c r="A146">
        <v>144</v>
      </c>
    </row>
    <row r="147" ht="12.75">
      <c r="A147">
        <v>145</v>
      </c>
    </row>
    <row r="148" ht="12.75">
      <c r="A148">
        <v>146</v>
      </c>
    </row>
    <row r="149" ht="12.75">
      <c r="A149">
        <v>147</v>
      </c>
    </row>
    <row r="150" ht="12.75">
      <c r="A150">
        <v>148</v>
      </c>
    </row>
    <row r="151" ht="12.75">
      <c r="A151">
        <v>149</v>
      </c>
    </row>
    <row r="152" ht="12.75">
      <c r="A152">
        <v>150</v>
      </c>
    </row>
    <row r="153" ht="12.75">
      <c r="A153">
        <v>151</v>
      </c>
    </row>
    <row r="154" ht="12.75">
      <c r="A154">
        <v>152</v>
      </c>
    </row>
    <row r="155" ht="12.75">
      <c r="A155">
        <v>153</v>
      </c>
    </row>
    <row r="156" ht="12.75">
      <c r="A156">
        <v>154</v>
      </c>
    </row>
    <row r="157" ht="12.75">
      <c r="A157">
        <v>155</v>
      </c>
    </row>
    <row r="158" ht="12.75">
      <c r="A158">
        <v>156</v>
      </c>
    </row>
    <row r="159" ht="12.75">
      <c r="A159">
        <v>157</v>
      </c>
    </row>
    <row r="160" ht="12.75">
      <c r="A160">
        <v>158</v>
      </c>
    </row>
    <row r="161" ht="12.75">
      <c r="A161">
        <v>159</v>
      </c>
    </row>
    <row r="162" ht="12.75">
      <c r="A162">
        <v>160</v>
      </c>
    </row>
    <row r="163" ht="12.75">
      <c r="A163">
        <v>161</v>
      </c>
    </row>
    <row r="164" ht="12.75">
      <c r="A164">
        <v>162</v>
      </c>
    </row>
    <row r="165" ht="12.75">
      <c r="A165">
        <v>163</v>
      </c>
    </row>
    <row r="166" ht="12.75">
      <c r="A166">
        <v>164</v>
      </c>
    </row>
    <row r="167" ht="12.75">
      <c r="A167">
        <v>165</v>
      </c>
    </row>
    <row r="168" ht="12.75">
      <c r="A168">
        <v>166</v>
      </c>
    </row>
    <row r="169" ht="12.75">
      <c r="A169">
        <v>167</v>
      </c>
    </row>
    <row r="170" ht="12.75">
      <c r="A170">
        <v>168</v>
      </c>
    </row>
    <row r="171" ht="12.75">
      <c r="A171">
        <v>169</v>
      </c>
    </row>
    <row r="172" ht="12.75">
      <c r="A172">
        <v>170</v>
      </c>
    </row>
    <row r="173" ht="12.75">
      <c r="A173">
        <v>171</v>
      </c>
    </row>
    <row r="174" ht="12.75">
      <c r="A174">
        <v>172</v>
      </c>
    </row>
    <row r="175" ht="12.75">
      <c r="A175">
        <v>173</v>
      </c>
    </row>
    <row r="176" ht="12.75">
      <c r="A176">
        <v>174</v>
      </c>
    </row>
    <row r="177" ht="12.75">
      <c r="A177">
        <v>175</v>
      </c>
    </row>
    <row r="178" ht="12.75">
      <c r="A178">
        <v>176</v>
      </c>
    </row>
    <row r="179" ht="12.75">
      <c r="A179">
        <v>177</v>
      </c>
    </row>
    <row r="180" ht="12.75">
      <c r="A180">
        <v>178</v>
      </c>
    </row>
    <row r="181" ht="12.75">
      <c r="A181">
        <v>179</v>
      </c>
    </row>
    <row r="182" ht="12.75">
      <c r="A182">
        <v>180</v>
      </c>
    </row>
    <row r="183" ht="12.75">
      <c r="A183">
        <v>181</v>
      </c>
    </row>
    <row r="184" ht="12.75">
      <c r="A184">
        <v>182</v>
      </c>
    </row>
    <row r="185" ht="12.75">
      <c r="A185">
        <v>183</v>
      </c>
    </row>
    <row r="186" ht="12.75">
      <c r="A186">
        <v>184</v>
      </c>
    </row>
    <row r="187" ht="12.75">
      <c r="A187">
        <v>185</v>
      </c>
    </row>
    <row r="188" ht="12.75">
      <c r="A188">
        <v>186</v>
      </c>
    </row>
    <row r="189" ht="12.75">
      <c r="A189">
        <v>187</v>
      </c>
    </row>
    <row r="190" ht="12.75">
      <c r="A190">
        <v>188</v>
      </c>
    </row>
    <row r="191" ht="12.75">
      <c r="A191">
        <v>189</v>
      </c>
    </row>
    <row r="192" ht="12.75">
      <c r="A192">
        <v>190</v>
      </c>
    </row>
    <row r="193" ht="12.75">
      <c r="A193">
        <v>191</v>
      </c>
    </row>
    <row r="194" ht="12.75">
      <c r="A194">
        <v>192</v>
      </c>
    </row>
    <row r="195" ht="12.75">
      <c r="A195">
        <v>193</v>
      </c>
    </row>
    <row r="196" ht="12.75">
      <c r="A196">
        <v>194</v>
      </c>
    </row>
    <row r="197" ht="12.75">
      <c r="A197">
        <v>195</v>
      </c>
    </row>
    <row r="198" ht="12.75">
      <c r="A198">
        <v>196</v>
      </c>
    </row>
    <row r="199" ht="12.75">
      <c r="A199">
        <v>197</v>
      </c>
    </row>
    <row r="200" ht="12.75">
      <c r="A200">
        <v>198</v>
      </c>
    </row>
    <row r="201" ht="12.75">
      <c r="A201">
        <v>199</v>
      </c>
    </row>
    <row r="202" ht="12.75">
      <c r="A202">
        <v>200</v>
      </c>
    </row>
    <row r="203" ht="12.75">
      <c r="A203">
        <v>201</v>
      </c>
    </row>
    <row r="204" ht="12.75">
      <c r="A204">
        <v>202</v>
      </c>
    </row>
    <row r="205" ht="12.75">
      <c r="A205">
        <v>203</v>
      </c>
    </row>
    <row r="206" ht="12.75">
      <c r="A206">
        <v>204</v>
      </c>
    </row>
    <row r="207" ht="12.75">
      <c r="A207">
        <v>205</v>
      </c>
    </row>
    <row r="208" ht="12.75">
      <c r="A208">
        <v>206</v>
      </c>
    </row>
    <row r="209" ht="12.75">
      <c r="A209">
        <v>207</v>
      </c>
    </row>
    <row r="210" ht="12.75">
      <c r="A210">
        <v>208</v>
      </c>
    </row>
    <row r="211" ht="12.75">
      <c r="A211">
        <v>209</v>
      </c>
    </row>
    <row r="212" ht="12.75">
      <c r="A212">
        <v>210</v>
      </c>
    </row>
    <row r="213" ht="12.75">
      <c r="A213">
        <v>211</v>
      </c>
    </row>
    <row r="214" ht="12.75">
      <c r="A214">
        <v>212</v>
      </c>
    </row>
    <row r="215" ht="12.75">
      <c r="A215">
        <v>213</v>
      </c>
    </row>
    <row r="216" ht="12.75">
      <c r="A216">
        <v>214</v>
      </c>
    </row>
    <row r="217" ht="12.75">
      <c r="A217">
        <v>215</v>
      </c>
    </row>
    <row r="218" ht="12.75">
      <c r="A218">
        <v>216</v>
      </c>
    </row>
    <row r="219" ht="12.75">
      <c r="A219">
        <v>217</v>
      </c>
    </row>
    <row r="220" ht="12.75">
      <c r="A220">
        <v>218</v>
      </c>
    </row>
    <row r="221" ht="12.75">
      <c r="A221">
        <v>219</v>
      </c>
    </row>
    <row r="222" ht="12.75">
      <c r="A222">
        <v>220</v>
      </c>
    </row>
    <row r="223" ht="12.75">
      <c r="A223">
        <v>221</v>
      </c>
    </row>
    <row r="224" ht="12.75">
      <c r="A224">
        <v>222</v>
      </c>
    </row>
    <row r="225" ht="12.75">
      <c r="A225">
        <v>223</v>
      </c>
    </row>
    <row r="226" ht="12.75">
      <c r="A226">
        <v>224</v>
      </c>
    </row>
    <row r="227" ht="12.75">
      <c r="A227">
        <v>225</v>
      </c>
    </row>
    <row r="228" ht="12.75">
      <c r="A228">
        <v>226</v>
      </c>
    </row>
    <row r="229" ht="12.75">
      <c r="A229">
        <v>227</v>
      </c>
    </row>
    <row r="230" ht="12.75">
      <c r="A230">
        <v>228</v>
      </c>
    </row>
    <row r="231" ht="12.75">
      <c r="A231">
        <v>229</v>
      </c>
    </row>
    <row r="232" ht="12.75">
      <c r="A232">
        <v>230</v>
      </c>
    </row>
    <row r="233" ht="12.75">
      <c r="A233">
        <v>231</v>
      </c>
    </row>
    <row r="234" ht="12.75">
      <c r="A234">
        <v>232</v>
      </c>
    </row>
    <row r="235" ht="12.75">
      <c r="A235">
        <v>233</v>
      </c>
    </row>
    <row r="236" ht="12.75">
      <c r="A236">
        <v>234</v>
      </c>
    </row>
    <row r="237" ht="12.75">
      <c r="A237">
        <v>235</v>
      </c>
    </row>
    <row r="238" ht="12.75">
      <c r="A238">
        <v>236</v>
      </c>
    </row>
    <row r="239" ht="12.75">
      <c r="A239">
        <v>237</v>
      </c>
    </row>
    <row r="240" ht="12.75">
      <c r="A240">
        <v>238</v>
      </c>
    </row>
    <row r="241" ht="12.75">
      <c r="A241">
        <v>239</v>
      </c>
    </row>
    <row r="242" ht="12.75">
      <c r="A242">
        <v>240</v>
      </c>
    </row>
    <row r="243" ht="12.75">
      <c r="A243">
        <v>241</v>
      </c>
    </row>
    <row r="244" ht="12.75">
      <c r="A244">
        <v>242</v>
      </c>
    </row>
    <row r="245" ht="12.75">
      <c r="A245">
        <v>243</v>
      </c>
    </row>
    <row r="246" ht="12.75">
      <c r="A246">
        <v>244</v>
      </c>
    </row>
    <row r="247" ht="12.75">
      <c r="A247">
        <v>245</v>
      </c>
    </row>
    <row r="248" ht="12.75">
      <c r="A248">
        <v>246</v>
      </c>
    </row>
    <row r="249" ht="12.75">
      <c r="A249">
        <v>247</v>
      </c>
    </row>
    <row r="250" ht="12.75">
      <c r="A250">
        <v>248</v>
      </c>
    </row>
    <row r="251" ht="12.75">
      <c r="A251">
        <v>249</v>
      </c>
    </row>
    <row r="252" ht="12.75">
      <c r="A252">
        <v>250</v>
      </c>
    </row>
    <row r="253" ht="12.75">
      <c r="A253">
        <v>251</v>
      </c>
    </row>
    <row r="254" ht="12.75">
      <c r="A254">
        <v>252</v>
      </c>
    </row>
    <row r="255" ht="12.75">
      <c r="A255">
        <v>253</v>
      </c>
    </row>
    <row r="256" ht="12.75">
      <c r="A256">
        <v>254</v>
      </c>
    </row>
    <row r="257" ht="12.75">
      <c r="A257">
        <v>255</v>
      </c>
    </row>
    <row r="258" ht="12.75">
      <c r="A258">
        <v>256</v>
      </c>
    </row>
    <row r="259" ht="12.75">
      <c r="A259">
        <v>257</v>
      </c>
    </row>
    <row r="260" ht="12.75">
      <c r="A260">
        <v>258</v>
      </c>
    </row>
    <row r="261" ht="12.75">
      <c r="A261">
        <v>259</v>
      </c>
    </row>
    <row r="262" ht="12.75">
      <c r="A262">
        <v>260</v>
      </c>
    </row>
    <row r="263" ht="12.75">
      <c r="A263">
        <v>261</v>
      </c>
    </row>
    <row r="264" ht="12.75">
      <c r="A264">
        <v>262</v>
      </c>
    </row>
    <row r="265" ht="12.75">
      <c r="A265">
        <v>263</v>
      </c>
    </row>
    <row r="266" ht="12.75">
      <c r="A266">
        <v>264</v>
      </c>
    </row>
    <row r="267" ht="12.75">
      <c r="A267">
        <v>265</v>
      </c>
    </row>
    <row r="268" ht="12.75">
      <c r="A268">
        <v>266</v>
      </c>
    </row>
    <row r="269" ht="12.75">
      <c r="A269">
        <v>267</v>
      </c>
    </row>
    <row r="270" ht="12.75">
      <c r="A270">
        <v>268</v>
      </c>
    </row>
    <row r="271" ht="12.75">
      <c r="A271">
        <v>269</v>
      </c>
    </row>
    <row r="272" ht="12.75">
      <c r="A272">
        <v>270</v>
      </c>
    </row>
    <row r="273" ht="12.75">
      <c r="A273">
        <v>271</v>
      </c>
    </row>
    <row r="274" ht="12.75">
      <c r="A274">
        <v>272</v>
      </c>
    </row>
    <row r="275" ht="12.75">
      <c r="A275">
        <v>273</v>
      </c>
    </row>
    <row r="276" ht="12.75">
      <c r="A276">
        <v>274</v>
      </c>
    </row>
    <row r="277" ht="12.75">
      <c r="A277">
        <v>275</v>
      </c>
    </row>
    <row r="278" ht="12.75">
      <c r="A278">
        <v>276</v>
      </c>
    </row>
    <row r="279" ht="12.75">
      <c r="A279">
        <v>277</v>
      </c>
    </row>
    <row r="280" ht="12.75">
      <c r="A280">
        <v>278</v>
      </c>
    </row>
    <row r="281" ht="12.75">
      <c r="A281">
        <v>279</v>
      </c>
    </row>
    <row r="282" ht="12.75">
      <c r="A282">
        <v>280</v>
      </c>
    </row>
    <row r="283" ht="12.75">
      <c r="A283">
        <v>281</v>
      </c>
    </row>
    <row r="284" ht="12.75">
      <c r="A284">
        <v>282</v>
      </c>
    </row>
    <row r="285" ht="12.75">
      <c r="A285">
        <v>283</v>
      </c>
    </row>
    <row r="286" ht="12.75">
      <c r="A286">
        <v>284</v>
      </c>
    </row>
    <row r="287" ht="12.75">
      <c r="A287">
        <v>285</v>
      </c>
    </row>
    <row r="288" ht="12.75">
      <c r="A288">
        <v>286</v>
      </c>
    </row>
    <row r="289" ht="12.75">
      <c r="A289">
        <v>287</v>
      </c>
    </row>
    <row r="290" ht="12.75">
      <c r="A290">
        <v>288</v>
      </c>
    </row>
    <row r="291" ht="12.75">
      <c r="A291">
        <v>289</v>
      </c>
    </row>
    <row r="292" ht="12.75">
      <c r="A292">
        <v>290</v>
      </c>
    </row>
    <row r="293" ht="12.75">
      <c r="A293">
        <v>291</v>
      </c>
    </row>
    <row r="294" ht="12.75">
      <c r="A294">
        <v>292</v>
      </c>
    </row>
    <row r="295" ht="12.75">
      <c r="A295">
        <v>293</v>
      </c>
    </row>
    <row r="296" ht="12.75">
      <c r="A296">
        <v>294</v>
      </c>
    </row>
    <row r="297" ht="12.75">
      <c r="A297">
        <v>295</v>
      </c>
    </row>
    <row r="298" ht="12.75">
      <c r="A298">
        <v>296</v>
      </c>
    </row>
    <row r="299" ht="12.75">
      <c r="A299">
        <v>297</v>
      </c>
    </row>
    <row r="300" ht="12.75">
      <c r="A300">
        <v>298</v>
      </c>
    </row>
    <row r="301" ht="12.75">
      <c r="A301">
        <v>299</v>
      </c>
    </row>
    <row r="302" ht="12.75">
      <c r="A302">
        <v>300</v>
      </c>
    </row>
    <row r="303" ht="12.75">
      <c r="A303">
        <v>301</v>
      </c>
    </row>
    <row r="304" ht="12.75">
      <c r="A304">
        <v>302</v>
      </c>
    </row>
    <row r="305" ht="12.75">
      <c r="A305">
        <v>303</v>
      </c>
    </row>
    <row r="306" ht="12.75">
      <c r="A306">
        <v>304</v>
      </c>
    </row>
    <row r="307" ht="12.75">
      <c r="A307">
        <v>305</v>
      </c>
    </row>
    <row r="308" ht="12.75">
      <c r="A308">
        <v>306</v>
      </c>
    </row>
    <row r="309" ht="12.75">
      <c r="A309">
        <v>307</v>
      </c>
    </row>
    <row r="310" ht="12.75">
      <c r="A310">
        <v>308</v>
      </c>
    </row>
    <row r="311" ht="12.75">
      <c r="A311">
        <v>309</v>
      </c>
    </row>
    <row r="312" ht="12.75">
      <c r="A312">
        <v>310</v>
      </c>
    </row>
    <row r="313" ht="12.75">
      <c r="A313">
        <v>311</v>
      </c>
    </row>
    <row r="314" ht="12.75">
      <c r="A314">
        <v>312</v>
      </c>
    </row>
    <row r="315" ht="12.75">
      <c r="A315">
        <v>313</v>
      </c>
    </row>
    <row r="316" ht="12.75">
      <c r="A316">
        <v>314</v>
      </c>
    </row>
    <row r="317" ht="12.75">
      <c r="A317">
        <v>315</v>
      </c>
    </row>
    <row r="318" ht="12.75">
      <c r="A318">
        <v>316</v>
      </c>
    </row>
    <row r="319" ht="12.75">
      <c r="A319">
        <v>317</v>
      </c>
    </row>
    <row r="320" ht="12.75">
      <c r="A320">
        <v>318</v>
      </c>
    </row>
    <row r="321" ht="12.75">
      <c r="A321">
        <v>319</v>
      </c>
    </row>
    <row r="322" ht="12.75">
      <c r="A322">
        <v>320</v>
      </c>
    </row>
    <row r="323" ht="12.75">
      <c r="A323">
        <v>321</v>
      </c>
    </row>
    <row r="324" ht="12.75">
      <c r="A324">
        <v>322</v>
      </c>
    </row>
    <row r="325" ht="12.75">
      <c r="A325">
        <v>323</v>
      </c>
    </row>
    <row r="326" ht="12.75">
      <c r="A326">
        <v>324</v>
      </c>
    </row>
    <row r="327" ht="12.75">
      <c r="A327">
        <v>325</v>
      </c>
    </row>
    <row r="328" ht="12.75">
      <c r="A328">
        <v>326</v>
      </c>
    </row>
    <row r="329" ht="12.75">
      <c r="A329">
        <v>327</v>
      </c>
    </row>
    <row r="330" ht="12.75">
      <c r="A330">
        <v>328</v>
      </c>
    </row>
    <row r="331" ht="12.75">
      <c r="A331">
        <v>329</v>
      </c>
    </row>
    <row r="332" ht="12.75">
      <c r="A332">
        <v>330</v>
      </c>
    </row>
    <row r="333" ht="12.75">
      <c r="A333">
        <v>331</v>
      </c>
    </row>
    <row r="334" ht="12.75">
      <c r="A334">
        <v>332</v>
      </c>
    </row>
    <row r="335" ht="12.75">
      <c r="A335">
        <v>333</v>
      </c>
    </row>
    <row r="336" ht="12.75">
      <c r="A336">
        <v>334</v>
      </c>
    </row>
    <row r="337" ht="12.75">
      <c r="A337">
        <v>335</v>
      </c>
    </row>
    <row r="338" ht="12.75">
      <c r="A338">
        <v>336</v>
      </c>
    </row>
    <row r="339" ht="12.75">
      <c r="A339">
        <v>337</v>
      </c>
    </row>
    <row r="340" ht="12.75">
      <c r="A340">
        <v>338</v>
      </c>
    </row>
    <row r="341" ht="12.75">
      <c r="A341">
        <v>339</v>
      </c>
    </row>
    <row r="342" ht="12.75">
      <c r="A342">
        <v>340</v>
      </c>
    </row>
    <row r="343" ht="12.75">
      <c r="A343">
        <v>341</v>
      </c>
    </row>
    <row r="344" ht="12.75">
      <c r="A344">
        <v>342</v>
      </c>
    </row>
    <row r="345" ht="12.75">
      <c r="A345">
        <v>343</v>
      </c>
    </row>
    <row r="346" ht="12.75">
      <c r="A346">
        <v>344</v>
      </c>
    </row>
    <row r="347" ht="12.75">
      <c r="A347">
        <v>345</v>
      </c>
    </row>
    <row r="348" ht="12.75">
      <c r="A348">
        <v>346</v>
      </c>
    </row>
    <row r="349" ht="12.75">
      <c r="A349">
        <v>347</v>
      </c>
    </row>
    <row r="350" ht="12.75">
      <c r="A350">
        <v>348</v>
      </c>
    </row>
    <row r="351" ht="12.75">
      <c r="A351">
        <v>349</v>
      </c>
    </row>
    <row r="352" ht="12.75">
      <c r="A352">
        <v>350</v>
      </c>
    </row>
    <row r="353" ht="12.75">
      <c r="A353">
        <v>351</v>
      </c>
    </row>
    <row r="354" ht="12.75">
      <c r="A354">
        <v>352</v>
      </c>
    </row>
    <row r="355" ht="12.75">
      <c r="A355">
        <v>353</v>
      </c>
    </row>
    <row r="356" ht="12.75">
      <c r="A356">
        <v>354</v>
      </c>
    </row>
    <row r="357" ht="12.75">
      <c r="A357">
        <v>355</v>
      </c>
    </row>
    <row r="358" ht="12.75">
      <c r="A358">
        <v>356</v>
      </c>
    </row>
    <row r="359" ht="12.75">
      <c r="A359">
        <v>357</v>
      </c>
    </row>
    <row r="360" ht="12.75">
      <c r="A360">
        <v>358</v>
      </c>
    </row>
    <row r="361" ht="12.75">
      <c r="A361">
        <v>359</v>
      </c>
    </row>
    <row r="362" ht="12.75">
      <c r="A362">
        <v>360</v>
      </c>
    </row>
    <row r="363" ht="12.75">
      <c r="A363">
        <v>361</v>
      </c>
    </row>
    <row r="364" ht="12.75">
      <c r="A364">
        <v>362</v>
      </c>
    </row>
    <row r="365" ht="12.75">
      <c r="A365">
        <v>363</v>
      </c>
    </row>
    <row r="366" ht="12.75">
      <c r="A366">
        <v>364</v>
      </c>
    </row>
    <row r="367" ht="12.75">
      <c r="A367">
        <v>365</v>
      </c>
    </row>
    <row r="368" ht="12.75">
      <c r="A368">
        <v>366</v>
      </c>
    </row>
    <row r="369" ht="12.75">
      <c r="A369">
        <v>367</v>
      </c>
    </row>
    <row r="370" ht="12.75">
      <c r="A370">
        <v>368</v>
      </c>
    </row>
    <row r="371" ht="12.75">
      <c r="A371">
        <v>369</v>
      </c>
    </row>
    <row r="372" ht="12.75">
      <c r="A372">
        <v>370</v>
      </c>
    </row>
    <row r="373" ht="12.75">
      <c r="A373">
        <v>371</v>
      </c>
    </row>
    <row r="374" ht="12.75">
      <c r="A374">
        <v>372</v>
      </c>
    </row>
    <row r="375" ht="12.75">
      <c r="A375">
        <v>373</v>
      </c>
    </row>
    <row r="376" ht="12.75">
      <c r="A376">
        <v>374</v>
      </c>
    </row>
    <row r="377" ht="12.75">
      <c r="A377">
        <v>375</v>
      </c>
    </row>
    <row r="378" ht="12.75">
      <c r="A378">
        <v>376</v>
      </c>
    </row>
    <row r="379" ht="12.75">
      <c r="A379">
        <v>377</v>
      </c>
    </row>
    <row r="380" ht="12.75">
      <c r="A380">
        <v>378</v>
      </c>
    </row>
    <row r="381" ht="12.75">
      <c r="A381">
        <v>379</v>
      </c>
    </row>
    <row r="382" ht="12.75">
      <c r="A382">
        <v>380</v>
      </c>
    </row>
    <row r="383" ht="12.75">
      <c r="A383">
        <v>381</v>
      </c>
    </row>
    <row r="384" ht="12.75">
      <c r="A384">
        <v>382</v>
      </c>
    </row>
    <row r="385" ht="12.75">
      <c r="A385">
        <v>383</v>
      </c>
    </row>
    <row r="386" ht="12.75">
      <c r="A386">
        <v>384</v>
      </c>
    </row>
    <row r="387" ht="12.75">
      <c r="A387">
        <v>385</v>
      </c>
    </row>
    <row r="388" ht="12.75">
      <c r="A388">
        <v>386</v>
      </c>
    </row>
    <row r="389" ht="12.75">
      <c r="A389">
        <v>387</v>
      </c>
    </row>
    <row r="390" ht="12.75">
      <c r="A390">
        <v>388</v>
      </c>
    </row>
    <row r="391" ht="12.75">
      <c r="A391">
        <v>389</v>
      </c>
    </row>
    <row r="392" ht="12.75">
      <c r="A392">
        <v>390</v>
      </c>
    </row>
    <row r="393" ht="12.75">
      <c r="A393">
        <v>391</v>
      </c>
    </row>
    <row r="394" ht="12.75">
      <c r="A394">
        <v>392</v>
      </c>
    </row>
    <row r="395" ht="12.75">
      <c r="A395">
        <v>393</v>
      </c>
    </row>
    <row r="396" ht="12.75">
      <c r="A396">
        <v>394</v>
      </c>
    </row>
    <row r="397" ht="12.75">
      <c r="A397">
        <v>395</v>
      </c>
    </row>
    <row r="398" ht="12.75">
      <c r="A398">
        <v>396</v>
      </c>
    </row>
    <row r="399" ht="12.75">
      <c r="A399">
        <v>397</v>
      </c>
    </row>
    <row r="400" ht="12.75">
      <c r="A400">
        <v>398</v>
      </c>
    </row>
    <row r="401" ht="12.75">
      <c r="A401">
        <v>399</v>
      </c>
    </row>
    <row r="402" ht="12.75">
      <c r="A402">
        <v>400</v>
      </c>
    </row>
    <row r="403" ht="12.75">
      <c r="A403">
        <v>401</v>
      </c>
    </row>
    <row r="404" ht="12.75">
      <c r="A404">
        <v>402</v>
      </c>
    </row>
    <row r="405" ht="12.75">
      <c r="A405">
        <v>403</v>
      </c>
    </row>
    <row r="406" ht="12.75">
      <c r="A406">
        <v>404</v>
      </c>
    </row>
    <row r="407" ht="12.75">
      <c r="A407">
        <v>405</v>
      </c>
    </row>
    <row r="408" ht="12.75">
      <c r="A408">
        <v>406</v>
      </c>
    </row>
    <row r="409" ht="12.75">
      <c r="A409">
        <v>407</v>
      </c>
    </row>
    <row r="410" ht="12.75">
      <c r="A410">
        <v>408</v>
      </c>
    </row>
    <row r="411" ht="12.75">
      <c r="A411">
        <v>409</v>
      </c>
    </row>
    <row r="412" ht="12.75">
      <c r="A412">
        <v>410</v>
      </c>
    </row>
    <row r="413" ht="12.75">
      <c r="A413">
        <v>411</v>
      </c>
    </row>
    <row r="414" ht="12.75">
      <c r="A414">
        <v>412</v>
      </c>
    </row>
    <row r="415" ht="12.75">
      <c r="A415">
        <v>413</v>
      </c>
    </row>
    <row r="416" ht="12.75">
      <c r="A416">
        <v>414</v>
      </c>
    </row>
    <row r="417" ht="12.75">
      <c r="A417">
        <v>415</v>
      </c>
    </row>
    <row r="418" ht="12.75">
      <c r="A418">
        <v>416</v>
      </c>
    </row>
    <row r="419" ht="12.75">
      <c r="A419">
        <v>417</v>
      </c>
    </row>
    <row r="420" ht="12.75">
      <c r="A420">
        <v>418</v>
      </c>
    </row>
    <row r="421" ht="12.75">
      <c r="A421">
        <v>419</v>
      </c>
    </row>
    <row r="422" ht="12.75">
      <c r="A422">
        <v>420</v>
      </c>
    </row>
    <row r="423" ht="12.75">
      <c r="A423">
        <v>421</v>
      </c>
    </row>
    <row r="424" ht="12.75">
      <c r="A424">
        <v>422</v>
      </c>
    </row>
    <row r="425" ht="12.75">
      <c r="A425">
        <v>423</v>
      </c>
    </row>
    <row r="426" ht="12.75">
      <c r="A426">
        <v>424</v>
      </c>
    </row>
    <row r="427" ht="12.75">
      <c r="A427">
        <v>425</v>
      </c>
    </row>
    <row r="428" ht="12.75">
      <c r="A428">
        <v>426</v>
      </c>
    </row>
    <row r="429" ht="12.75">
      <c r="A429">
        <v>427</v>
      </c>
    </row>
    <row r="430" ht="12.75">
      <c r="A430">
        <v>428</v>
      </c>
    </row>
    <row r="431" ht="12.75">
      <c r="A431">
        <v>429</v>
      </c>
    </row>
    <row r="432" ht="12.75">
      <c r="A432">
        <v>430</v>
      </c>
    </row>
    <row r="433" ht="12.75">
      <c r="A433">
        <v>431</v>
      </c>
    </row>
    <row r="434" ht="12.75">
      <c r="A434">
        <v>432</v>
      </c>
    </row>
    <row r="435" ht="12.75">
      <c r="A435">
        <v>433</v>
      </c>
    </row>
    <row r="436" ht="12.75">
      <c r="A436">
        <v>434</v>
      </c>
    </row>
    <row r="437" ht="12.75">
      <c r="A437">
        <v>435</v>
      </c>
    </row>
    <row r="438" ht="12.75">
      <c r="A438">
        <v>436</v>
      </c>
    </row>
    <row r="439" ht="12.75">
      <c r="A439">
        <v>437</v>
      </c>
    </row>
    <row r="440" ht="12.75">
      <c r="A440">
        <v>438</v>
      </c>
    </row>
    <row r="441" ht="12.75">
      <c r="A441">
        <v>439</v>
      </c>
    </row>
    <row r="442" ht="12.75">
      <c r="A442">
        <v>440</v>
      </c>
    </row>
    <row r="443" ht="12.75">
      <c r="A443">
        <v>441</v>
      </c>
    </row>
    <row r="444" ht="12.75">
      <c r="A444">
        <v>442</v>
      </c>
    </row>
    <row r="445" ht="12.75">
      <c r="A445">
        <v>443</v>
      </c>
    </row>
    <row r="446" ht="12.75">
      <c r="A446">
        <v>444</v>
      </c>
    </row>
    <row r="447" ht="12.75">
      <c r="A447">
        <v>445</v>
      </c>
    </row>
    <row r="448" ht="12.75">
      <c r="A448">
        <v>446</v>
      </c>
    </row>
    <row r="449" ht="12.75">
      <c r="A449">
        <v>447</v>
      </c>
    </row>
    <row r="450" ht="12.75">
      <c r="A450">
        <v>448</v>
      </c>
    </row>
    <row r="451" ht="12.75">
      <c r="A451">
        <v>449</v>
      </c>
    </row>
    <row r="452" ht="12.75">
      <c r="A452">
        <v>450</v>
      </c>
    </row>
    <row r="453" ht="12.75">
      <c r="A453">
        <v>451</v>
      </c>
    </row>
    <row r="454" ht="12.75">
      <c r="A454">
        <v>452</v>
      </c>
    </row>
    <row r="455" ht="12.75">
      <c r="A455">
        <v>453</v>
      </c>
    </row>
    <row r="456" ht="12.75">
      <c r="A456">
        <v>454</v>
      </c>
    </row>
    <row r="457" ht="12.75">
      <c r="A457">
        <v>455</v>
      </c>
    </row>
    <row r="458" ht="12.75">
      <c r="A458">
        <v>456</v>
      </c>
    </row>
    <row r="459" ht="12.75">
      <c r="A459">
        <v>457</v>
      </c>
    </row>
    <row r="460" ht="12.75">
      <c r="A460">
        <v>458</v>
      </c>
    </row>
    <row r="461" ht="12.75">
      <c r="A461">
        <v>459</v>
      </c>
    </row>
    <row r="462" ht="12.75">
      <c r="A462">
        <v>460</v>
      </c>
    </row>
    <row r="463" ht="12.75">
      <c r="A463">
        <v>461</v>
      </c>
    </row>
    <row r="464" ht="12.75">
      <c r="A464">
        <v>462</v>
      </c>
    </row>
    <row r="465" ht="12.75">
      <c r="A465">
        <v>463</v>
      </c>
    </row>
    <row r="466" ht="12.75">
      <c r="A466">
        <v>464</v>
      </c>
    </row>
    <row r="467" ht="12.75">
      <c r="A467">
        <v>465</v>
      </c>
    </row>
    <row r="468" ht="12.75">
      <c r="A468">
        <v>466</v>
      </c>
    </row>
    <row r="469" ht="12.75">
      <c r="A469">
        <v>467</v>
      </c>
    </row>
    <row r="470" ht="12.75">
      <c r="A470">
        <v>468</v>
      </c>
    </row>
    <row r="471" ht="12.75">
      <c r="A471">
        <v>469</v>
      </c>
    </row>
    <row r="472" ht="12.75">
      <c r="A472">
        <v>470</v>
      </c>
    </row>
    <row r="473" ht="12.75">
      <c r="A473">
        <v>471</v>
      </c>
    </row>
    <row r="474" ht="12.75">
      <c r="A474">
        <v>472</v>
      </c>
    </row>
    <row r="475" ht="12.75">
      <c r="A475">
        <v>473</v>
      </c>
    </row>
    <row r="476" ht="12.75">
      <c r="A476">
        <v>474</v>
      </c>
    </row>
    <row r="477" ht="12.75">
      <c r="A477">
        <v>475</v>
      </c>
    </row>
    <row r="478" ht="12.75">
      <c r="A478">
        <v>476</v>
      </c>
    </row>
    <row r="479" ht="12.75">
      <c r="A479">
        <v>477</v>
      </c>
    </row>
    <row r="480" ht="12.75">
      <c r="A480">
        <v>478</v>
      </c>
    </row>
    <row r="481" ht="12.75">
      <c r="A481">
        <v>479</v>
      </c>
    </row>
    <row r="482" ht="12.75">
      <c r="A482">
        <v>480</v>
      </c>
    </row>
    <row r="483" ht="12.75">
      <c r="A483">
        <v>481</v>
      </c>
    </row>
    <row r="484" ht="12.75">
      <c r="A484">
        <v>482</v>
      </c>
    </row>
    <row r="485" ht="12.75">
      <c r="A485">
        <v>483</v>
      </c>
    </row>
    <row r="486" ht="12.75">
      <c r="A486">
        <v>484</v>
      </c>
    </row>
    <row r="487" ht="12.75">
      <c r="A487">
        <v>485</v>
      </c>
    </row>
    <row r="488" ht="12.75">
      <c r="A488">
        <v>486</v>
      </c>
    </row>
    <row r="489" ht="12.75">
      <c r="A489">
        <v>487</v>
      </c>
    </row>
    <row r="490" ht="12.75">
      <c r="A490">
        <v>488</v>
      </c>
    </row>
    <row r="491" ht="12.75">
      <c r="A491">
        <v>489</v>
      </c>
    </row>
    <row r="492" ht="12.75">
      <c r="A492">
        <v>490</v>
      </c>
    </row>
    <row r="493" ht="12.75">
      <c r="A493">
        <v>491</v>
      </c>
    </row>
    <row r="494" ht="12.75">
      <c r="A494">
        <v>492</v>
      </c>
    </row>
    <row r="495" ht="12.75">
      <c r="A495">
        <v>493</v>
      </c>
    </row>
    <row r="496" ht="12.75">
      <c r="A496">
        <v>494</v>
      </c>
    </row>
    <row r="497" ht="12.75">
      <c r="A497">
        <v>495</v>
      </c>
    </row>
    <row r="498" ht="12.75">
      <c r="A498">
        <v>496</v>
      </c>
    </row>
    <row r="499" ht="12.75">
      <c r="A499">
        <v>497</v>
      </c>
    </row>
    <row r="500" ht="12.75">
      <c r="A500">
        <v>498</v>
      </c>
    </row>
    <row r="501" ht="12.75">
      <c r="A501">
        <v>499</v>
      </c>
    </row>
    <row r="502" ht="12.75">
      <c r="A502">
        <v>500</v>
      </c>
    </row>
    <row r="503" ht="12.75">
      <c r="A503">
        <v>501</v>
      </c>
    </row>
    <row r="504" ht="12.75">
      <c r="A504">
        <v>502</v>
      </c>
    </row>
    <row r="505" ht="12.75">
      <c r="A505">
        <v>503</v>
      </c>
    </row>
    <row r="506" ht="12.75">
      <c r="A506">
        <v>504</v>
      </c>
    </row>
    <row r="507" ht="12.75">
      <c r="A507">
        <v>505</v>
      </c>
    </row>
    <row r="508" ht="12.75">
      <c r="A508">
        <v>506</v>
      </c>
    </row>
    <row r="509" ht="12.75">
      <c r="A509">
        <v>507</v>
      </c>
    </row>
    <row r="510" ht="12.75">
      <c r="A510">
        <v>508</v>
      </c>
    </row>
    <row r="511" ht="12.75">
      <c r="A511">
        <v>509</v>
      </c>
    </row>
    <row r="512" ht="12.75">
      <c r="A512">
        <v>510</v>
      </c>
    </row>
    <row r="513" ht="12.75">
      <c r="A513">
        <v>511</v>
      </c>
    </row>
    <row r="514" ht="12.75">
      <c r="A514">
        <v>512</v>
      </c>
    </row>
    <row r="515" ht="12.75">
      <c r="A515">
        <v>513</v>
      </c>
    </row>
    <row r="516" ht="12.75">
      <c r="A516">
        <v>514</v>
      </c>
    </row>
    <row r="517" ht="12.75">
      <c r="A517">
        <v>515</v>
      </c>
    </row>
    <row r="518" ht="12.75">
      <c r="A518">
        <v>516</v>
      </c>
    </row>
    <row r="519" ht="12.75">
      <c r="A519">
        <v>517</v>
      </c>
    </row>
    <row r="520" ht="12.75">
      <c r="A520">
        <v>518</v>
      </c>
    </row>
    <row r="521" ht="12.75">
      <c r="A521">
        <v>519</v>
      </c>
    </row>
    <row r="522" ht="12.75">
      <c r="A522">
        <v>520</v>
      </c>
    </row>
    <row r="523" ht="12.75">
      <c r="A523">
        <v>521</v>
      </c>
    </row>
    <row r="524" ht="12.75">
      <c r="A524">
        <v>522</v>
      </c>
    </row>
    <row r="525" ht="12.75">
      <c r="A525">
        <v>523</v>
      </c>
    </row>
    <row r="526" ht="12.75">
      <c r="A526">
        <v>524</v>
      </c>
    </row>
    <row r="527" ht="12.75">
      <c r="A527">
        <v>525</v>
      </c>
    </row>
    <row r="528" ht="12.75">
      <c r="A528">
        <v>526</v>
      </c>
    </row>
    <row r="529" ht="12.75">
      <c r="A529">
        <v>527</v>
      </c>
    </row>
    <row r="530" ht="12.75">
      <c r="A530">
        <v>528</v>
      </c>
    </row>
    <row r="531" ht="12.75">
      <c r="A531">
        <v>529</v>
      </c>
    </row>
    <row r="532" ht="12.75">
      <c r="A532">
        <v>530</v>
      </c>
    </row>
    <row r="533" ht="12.75">
      <c r="A533">
        <v>531</v>
      </c>
    </row>
    <row r="534" ht="12.75">
      <c r="A534">
        <v>532</v>
      </c>
    </row>
    <row r="535" ht="12.75">
      <c r="A535">
        <v>533</v>
      </c>
    </row>
    <row r="536" ht="12.75">
      <c r="A536">
        <v>534</v>
      </c>
    </row>
    <row r="537" ht="12.75">
      <c r="A537">
        <v>535</v>
      </c>
    </row>
    <row r="538" ht="12.75">
      <c r="A538">
        <v>536</v>
      </c>
    </row>
    <row r="539" ht="12.75">
      <c r="A539">
        <v>537</v>
      </c>
    </row>
    <row r="540" ht="12.75">
      <c r="A540">
        <v>538</v>
      </c>
    </row>
    <row r="541" ht="12.75">
      <c r="A541">
        <v>539</v>
      </c>
    </row>
    <row r="542" ht="12.75">
      <c r="A542">
        <v>540</v>
      </c>
    </row>
    <row r="543" ht="12.75">
      <c r="A543">
        <v>541</v>
      </c>
    </row>
    <row r="544" ht="12.75">
      <c r="A544">
        <v>542</v>
      </c>
    </row>
    <row r="545" ht="12.75">
      <c r="A545">
        <v>543</v>
      </c>
    </row>
    <row r="546" ht="12.75">
      <c r="A546">
        <v>544</v>
      </c>
    </row>
    <row r="547" ht="12.75">
      <c r="A547">
        <v>545</v>
      </c>
    </row>
    <row r="548" ht="12.75">
      <c r="A548">
        <v>546</v>
      </c>
    </row>
    <row r="549" ht="12.75">
      <c r="A549">
        <v>547</v>
      </c>
    </row>
    <row r="550" ht="12.75">
      <c r="A550">
        <v>548</v>
      </c>
    </row>
    <row r="551" ht="12.75">
      <c r="A551">
        <v>549</v>
      </c>
    </row>
    <row r="552" ht="12.75">
      <c r="A552">
        <v>550</v>
      </c>
    </row>
    <row r="553" ht="12.75">
      <c r="A553">
        <v>551</v>
      </c>
    </row>
    <row r="554" ht="12.75">
      <c r="A554">
        <v>552</v>
      </c>
    </row>
    <row r="555" ht="12.75">
      <c r="A555">
        <v>553</v>
      </c>
    </row>
    <row r="556" ht="12.75">
      <c r="A556">
        <v>554</v>
      </c>
    </row>
    <row r="557" ht="12.75">
      <c r="A557">
        <v>555</v>
      </c>
    </row>
    <row r="558" ht="12.75">
      <c r="A558">
        <v>556</v>
      </c>
    </row>
    <row r="559" ht="12.75">
      <c r="A559">
        <v>557</v>
      </c>
    </row>
    <row r="560" ht="12.75">
      <c r="A560">
        <v>558</v>
      </c>
    </row>
    <row r="561" ht="12.75">
      <c r="A561">
        <v>559</v>
      </c>
    </row>
    <row r="562" ht="12.75">
      <c r="A562">
        <v>560</v>
      </c>
    </row>
    <row r="563" ht="12.75">
      <c r="A563">
        <v>561</v>
      </c>
    </row>
    <row r="564" ht="12.75">
      <c r="A564">
        <v>562</v>
      </c>
    </row>
    <row r="565" ht="12.75">
      <c r="A565">
        <v>563</v>
      </c>
    </row>
    <row r="566" ht="12.75">
      <c r="A566">
        <v>564</v>
      </c>
    </row>
    <row r="567" ht="12.75">
      <c r="A567">
        <v>565</v>
      </c>
    </row>
    <row r="568" ht="12.75">
      <c r="A568">
        <v>566</v>
      </c>
    </row>
    <row r="569" ht="12.75">
      <c r="A569">
        <v>567</v>
      </c>
    </row>
    <row r="570" ht="12.75">
      <c r="A570">
        <v>568</v>
      </c>
    </row>
    <row r="571" ht="12.75">
      <c r="A571">
        <v>569</v>
      </c>
    </row>
    <row r="572" ht="12.75">
      <c r="A572">
        <v>570</v>
      </c>
    </row>
    <row r="573" ht="12.75">
      <c r="A573">
        <v>571</v>
      </c>
    </row>
    <row r="574" ht="12.75">
      <c r="A574">
        <v>572</v>
      </c>
    </row>
    <row r="575" ht="12.75">
      <c r="A575">
        <v>573</v>
      </c>
    </row>
    <row r="576" ht="12.75">
      <c r="A576">
        <v>574</v>
      </c>
    </row>
    <row r="577" ht="12.75">
      <c r="A577">
        <v>575</v>
      </c>
    </row>
    <row r="578" ht="12.75">
      <c r="A578">
        <v>576</v>
      </c>
    </row>
    <row r="579" ht="12.75">
      <c r="A579">
        <v>577</v>
      </c>
    </row>
    <row r="580" ht="12.75">
      <c r="A580">
        <v>578</v>
      </c>
    </row>
    <row r="581" ht="12.75">
      <c r="A581">
        <v>579</v>
      </c>
    </row>
    <row r="582" ht="12.75">
      <c r="A582">
        <v>580</v>
      </c>
    </row>
    <row r="583" ht="12.75">
      <c r="A583">
        <v>581</v>
      </c>
    </row>
    <row r="584" ht="12.75">
      <c r="A584">
        <v>582</v>
      </c>
    </row>
    <row r="585" ht="12.75">
      <c r="A585">
        <v>583</v>
      </c>
    </row>
    <row r="586" ht="12.75">
      <c r="A586">
        <v>584</v>
      </c>
    </row>
    <row r="587" ht="12.75">
      <c r="A587">
        <v>585</v>
      </c>
    </row>
    <row r="588" ht="12.75">
      <c r="A588">
        <v>586</v>
      </c>
    </row>
    <row r="589" ht="12.75">
      <c r="A589">
        <v>587</v>
      </c>
    </row>
    <row r="590" ht="12.75">
      <c r="A590">
        <v>588</v>
      </c>
    </row>
    <row r="591" ht="12.75">
      <c r="A591">
        <v>589</v>
      </c>
    </row>
    <row r="592" ht="12.75">
      <c r="A592">
        <v>590</v>
      </c>
    </row>
    <row r="593" ht="12.75">
      <c r="A593">
        <v>591</v>
      </c>
    </row>
    <row r="594" ht="12.75">
      <c r="A594">
        <v>592</v>
      </c>
    </row>
    <row r="595" ht="12.75">
      <c r="A595">
        <v>593</v>
      </c>
    </row>
    <row r="596" ht="12.75">
      <c r="A596">
        <v>594</v>
      </c>
    </row>
    <row r="597" ht="12.75">
      <c r="A597">
        <v>595</v>
      </c>
    </row>
    <row r="598" ht="12.75">
      <c r="A598">
        <v>596</v>
      </c>
    </row>
    <row r="599" ht="12.75">
      <c r="A599">
        <v>597</v>
      </c>
    </row>
    <row r="600" ht="12.75">
      <c r="A600">
        <v>598</v>
      </c>
    </row>
    <row r="601" ht="12.75">
      <c r="A601">
        <v>599</v>
      </c>
    </row>
    <row r="602" ht="12.75">
      <c r="A602">
        <v>600</v>
      </c>
    </row>
    <row r="603" ht="12.75">
      <c r="A603">
        <v>601</v>
      </c>
    </row>
    <row r="604" ht="12.75">
      <c r="A604">
        <v>602</v>
      </c>
    </row>
    <row r="605" ht="12.75">
      <c r="A605">
        <v>603</v>
      </c>
    </row>
    <row r="606" ht="12.75">
      <c r="A606">
        <v>604</v>
      </c>
    </row>
    <row r="607" ht="12.75">
      <c r="A607">
        <v>605</v>
      </c>
    </row>
    <row r="608" ht="12.75">
      <c r="A608">
        <v>606</v>
      </c>
    </row>
    <row r="609" ht="12.75">
      <c r="A609">
        <v>607</v>
      </c>
    </row>
    <row r="610" ht="12.75">
      <c r="A610">
        <v>608</v>
      </c>
    </row>
    <row r="611" ht="12.75">
      <c r="A611">
        <v>609</v>
      </c>
    </row>
    <row r="612" ht="12.75">
      <c r="A612">
        <v>610</v>
      </c>
    </row>
    <row r="613" ht="12.75">
      <c r="A613">
        <v>611</v>
      </c>
    </row>
    <row r="614" ht="12.75">
      <c r="A614">
        <v>612</v>
      </c>
    </row>
    <row r="615" ht="12.75">
      <c r="A615">
        <v>613</v>
      </c>
    </row>
    <row r="616" ht="12.75">
      <c r="A616">
        <v>614</v>
      </c>
    </row>
    <row r="617" ht="12.75">
      <c r="A617">
        <v>615</v>
      </c>
    </row>
    <row r="618" ht="12.75">
      <c r="A618">
        <v>616</v>
      </c>
    </row>
    <row r="619" ht="12.75">
      <c r="A619">
        <v>617</v>
      </c>
    </row>
    <row r="620" ht="12.75">
      <c r="A620">
        <v>618</v>
      </c>
    </row>
    <row r="621" ht="12.75">
      <c r="A621">
        <v>619</v>
      </c>
    </row>
    <row r="622" ht="12.75">
      <c r="A622">
        <v>620</v>
      </c>
    </row>
    <row r="623" ht="12.75">
      <c r="A623">
        <v>621</v>
      </c>
    </row>
    <row r="624" ht="12.75">
      <c r="A624">
        <v>622</v>
      </c>
    </row>
    <row r="625" ht="12.75">
      <c r="A625">
        <v>623</v>
      </c>
    </row>
    <row r="626" ht="12.75">
      <c r="A626">
        <v>624</v>
      </c>
    </row>
    <row r="627" ht="12.75">
      <c r="A627">
        <v>625</v>
      </c>
    </row>
    <row r="628" ht="12.75">
      <c r="A628">
        <v>626</v>
      </c>
    </row>
    <row r="629" ht="12.75">
      <c r="A629">
        <v>627</v>
      </c>
    </row>
    <row r="630" ht="12.75">
      <c r="A630">
        <v>628</v>
      </c>
    </row>
    <row r="631" ht="12.75">
      <c r="A631">
        <v>629</v>
      </c>
    </row>
    <row r="632" ht="12.75">
      <c r="A632">
        <v>630</v>
      </c>
    </row>
    <row r="633" ht="12.75">
      <c r="A633">
        <v>631</v>
      </c>
    </row>
    <row r="634" ht="12.75">
      <c r="A634">
        <v>632</v>
      </c>
    </row>
    <row r="635" ht="12.75">
      <c r="A635">
        <v>633</v>
      </c>
    </row>
    <row r="636" ht="12.75">
      <c r="A636">
        <v>634</v>
      </c>
    </row>
    <row r="637" ht="12.75">
      <c r="A637">
        <v>635</v>
      </c>
    </row>
    <row r="638" ht="12.75">
      <c r="A638">
        <v>636</v>
      </c>
    </row>
    <row r="639" ht="12.75">
      <c r="A639">
        <v>637</v>
      </c>
    </row>
    <row r="640" ht="12.75">
      <c r="A640">
        <v>638</v>
      </c>
    </row>
    <row r="641" ht="12.75">
      <c r="A641">
        <v>639</v>
      </c>
    </row>
    <row r="642" ht="12.75">
      <c r="A642">
        <v>640</v>
      </c>
    </row>
    <row r="643" ht="12.75">
      <c r="A643">
        <v>641</v>
      </c>
    </row>
    <row r="644" ht="12.75">
      <c r="A644">
        <v>642</v>
      </c>
    </row>
    <row r="645" ht="12.75">
      <c r="A645">
        <v>643</v>
      </c>
    </row>
    <row r="646" ht="12.75">
      <c r="A646">
        <v>644</v>
      </c>
    </row>
    <row r="647" ht="12.75">
      <c r="A647">
        <v>645</v>
      </c>
    </row>
    <row r="648" ht="12.75">
      <c r="A648">
        <v>646</v>
      </c>
    </row>
    <row r="649" ht="12.75">
      <c r="A649">
        <v>647</v>
      </c>
    </row>
    <row r="650" ht="12.75">
      <c r="A650">
        <v>648</v>
      </c>
    </row>
    <row r="651" ht="12.75">
      <c r="A651">
        <v>649</v>
      </c>
    </row>
    <row r="652" ht="12.75">
      <c r="A652">
        <v>650</v>
      </c>
    </row>
    <row r="653" ht="12.75">
      <c r="A653">
        <v>651</v>
      </c>
    </row>
    <row r="654" ht="12.75">
      <c r="A654">
        <v>652</v>
      </c>
    </row>
    <row r="655" ht="12.75">
      <c r="A655">
        <v>653</v>
      </c>
    </row>
    <row r="656" ht="12.75">
      <c r="A656">
        <v>654</v>
      </c>
    </row>
    <row r="657" ht="12.75">
      <c r="A657">
        <v>655</v>
      </c>
    </row>
    <row r="658" ht="12.75">
      <c r="A658">
        <v>656</v>
      </c>
    </row>
    <row r="659" ht="12.75">
      <c r="A659">
        <v>657</v>
      </c>
    </row>
    <row r="660" ht="12.75">
      <c r="A660">
        <v>658</v>
      </c>
    </row>
    <row r="661" ht="12.75">
      <c r="A661">
        <v>659</v>
      </c>
    </row>
    <row r="662" ht="12.75">
      <c r="A662">
        <v>660</v>
      </c>
    </row>
    <row r="663" ht="12.75">
      <c r="A663">
        <v>661</v>
      </c>
    </row>
    <row r="664" ht="12.75">
      <c r="A664">
        <v>662</v>
      </c>
    </row>
    <row r="665" ht="12.75">
      <c r="A665">
        <v>663</v>
      </c>
    </row>
    <row r="666" ht="12.75">
      <c r="A666">
        <v>664</v>
      </c>
    </row>
    <row r="667" ht="12.75">
      <c r="A667">
        <v>665</v>
      </c>
    </row>
    <row r="668" ht="12.75">
      <c r="A668">
        <v>666</v>
      </c>
    </row>
    <row r="669" ht="12.75">
      <c r="A669">
        <v>667</v>
      </c>
    </row>
    <row r="670" ht="12.75">
      <c r="A670">
        <v>668</v>
      </c>
    </row>
    <row r="671" ht="12.75">
      <c r="A671">
        <v>669</v>
      </c>
    </row>
    <row r="672" ht="12.75">
      <c r="A672">
        <v>670</v>
      </c>
    </row>
    <row r="673" ht="12.75">
      <c r="A673">
        <v>671</v>
      </c>
    </row>
    <row r="674" ht="12.75">
      <c r="A674">
        <v>672</v>
      </c>
    </row>
    <row r="675" ht="12.75">
      <c r="A675">
        <v>673</v>
      </c>
    </row>
    <row r="676" ht="12.75">
      <c r="A676">
        <v>674</v>
      </c>
    </row>
    <row r="677" ht="12.75">
      <c r="A677">
        <v>675</v>
      </c>
    </row>
    <row r="678" ht="12.75">
      <c r="A678">
        <v>676</v>
      </c>
    </row>
    <row r="679" ht="12.75">
      <c r="A679">
        <v>677</v>
      </c>
    </row>
    <row r="680" ht="12.75">
      <c r="A680">
        <v>678</v>
      </c>
    </row>
    <row r="681" ht="12.75">
      <c r="A681">
        <v>679</v>
      </c>
    </row>
    <row r="682" ht="12.75">
      <c r="A682">
        <v>680</v>
      </c>
    </row>
    <row r="683" ht="12.75">
      <c r="A683">
        <v>681</v>
      </c>
    </row>
    <row r="684" ht="12.75">
      <c r="A684">
        <v>682</v>
      </c>
    </row>
    <row r="685" ht="12.75">
      <c r="A685">
        <v>683</v>
      </c>
    </row>
    <row r="686" ht="12.75">
      <c r="A686">
        <v>684</v>
      </c>
    </row>
    <row r="687" ht="12.75">
      <c r="A687">
        <v>685</v>
      </c>
    </row>
    <row r="688" ht="12.75">
      <c r="A688">
        <v>686</v>
      </c>
    </row>
    <row r="689" ht="12.75">
      <c r="A689">
        <v>687</v>
      </c>
    </row>
    <row r="690" ht="12.75">
      <c r="A690">
        <v>688</v>
      </c>
    </row>
    <row r="691" ht="12.75">
      <c r="A691">
        <v>689</v>
      </c>
    </row>
    <row r="692" ht="12.75">
      <c r="A692">
        <v>690</v>
      </c>
    </row>
    <row r="693" ht="12.75">
      <c r="A693">
        <v>691</v>
      </c>
    </row>
    <row r="694" ht="12.75">
      <c r="A694">
        <v>692</v>
      </c>
    </row>
    <row r="695" ht="12.75">
      <c r="A695">
        <v>693</v>
      </c>
    </row>
    <row r="696" ht="12.75">
      <c r="A696">
        <v>694</v>
      </c>
    </row>
    <row r="697" ht="12.75">
      <c r="A697">
        <v>695</v>
      </c>
    </row>
    <row r="698" ht="12.75">
      <c r="A698">
        <v>696</v>
      </c>
    </row>
    <row r="699" ht="12.75">
      <c r="A699">
        <v>697</v>
      </c>
    </row>
    <row r="700" ht="12.75">
      <c r="A700">
        <v>698</v>
      </c>
    </row>
    <row r="701" ht="12.75">
      <c r="A701">
        <v>699</v>
      </c>
    </row>
    <row r="702" ht="12.75">
      <c r="A702">
        <v>700</v>
      </c>
    </row>
    <row r="703" ht="12.75">
      <c r="A703">
        <v>701</v>
      </c>
    </row>
    <row r="704" ht="12.75">
      <c r="A704">
        <v>702</v>
      </c>
    </row>
    <row r="705" ht="12.75">
      <c r="A705">
        <v>703</v>
      </c>
    </row>
    <row r="706" ht="12.75">
      <c r="A706">
        <v>704</v>
      </c>
    </row>
    <row r="707" ht="12.75">
      <c r="A707">
        <v>705</v>
      </c>
    </row>
    <row r="708" ht="12.75">
      <c r="A708">
        <v>706</v>
      </c>
    </row>
    <row r="709" ht="12.75">
      <c r="A709">
        <v>707</v>
      </c>
    </row>
    <row r="710" ht="12.75">
      <c r="A710">
        <v>708</v>
      </c>
    </row>
    <row r="711" ht="12.75">
      <c r="A711">
        <v>709</v>
      </c>
    </row>
    <row r="712" ht="12.75">
      <c r="A712">
        <v>710</v>
      </c>
    </row>
    <row r="713" ht="12.75">
      <c r="A713">
        <v>711</v>
      </c>
    </row>
    <row r="714" ht="12.75">
      <c r="A714">
        <v>712</v>
      </c>
    </row>
    <row r="715" ht="12.75">
      <c r="A715">
        <v>713</v>
      </c>
    </row>
    <row r="716" ht="12.75">
      <c r="A716">
        <v>714</v>
      </c>
    </row>
    <row r="717" ht="12.75">
      <c r="A717">
        <v>715</v>
      </c>
    </row>
    <row r="718" ht="12.75">
      <c r="A718">
        <v>716</v>
      </c>
    </row>
    <row r="719" ht="12.75">
      <c r="A719">
        <v>717</v>
      </c>
    </row>
    <row r="720" ht="12.75">
      <c r="A720">
        <v>718</v>
      </c>
    </row>
    <row r="721" ht="12.75">
      <c r="A721">
        <v>719</v>
      </c>
    </row>
    <row r="722" ht="12.75">
      <c r="A722">
        <v>720</v>
      </c>
    </row>
    <row r="723" ht="12.75">
      <c r="A723">
        <v>721</v>
      </c>
    </row>
    <row r="724" ht="12.75">
      <c r="A724">
        <v>722</v>
      </c>
    </row>
    <row r="725" ht="12.75">
      <c r="A725">
        <v>723</v>
      </c>
    </row>
    <row r="726" ht="12.75">
      <c r="A726">
        <v>724</v>
      </c>
    </row>
    <row r="727" ht="12.75">
      <c r="A727">
        <v>725</v>
      </c>
    </row>
    <row r="728" ht="12.75">
      <c r="A728">
        <v>726</v>
      </c>
    </row>
    <row r="729" ht="12.75">
      <c r="A729">
        <v>727</v>
      </c>
    </row>
    <row r="730" ht="12.75">
      <c r="A730">
        <v>728</v>
      </c>
    </row>
    <row r="731" ht="12.75">
      <c r="A731">
        <v>729</v>
      </c>
    </row>
    <row r="732" ht="12.75">
      <c r="A732">
        <v>730</v>
      </c>
    </row>
    <row r="733" ht="12.75">
      <c r="A733">
        <v>731</v>
      </c>
    </row>
    <row r="734" ht="12.75">
      <c r="A734">
        <v>732</v>
      </c>
    </row>
    <row r="735" ht="12.75">
      <c r="A735">
        <v>733</v>
      </c>
    </row>
    <row r="736" ht="12.75">
      <c r="A736">
        <v>734</v>
      </c>
    </row>
    <row r="737" ht="12.75">
      <c r="A737">
        <v>735</v>
      </c>
    </row>
    <row r="738" ht="12.75">
      <c r="A738">
        <v>736</v>
      </c>
    </row>
    <row r="739" ht="12.75">
      <c r="A739">
        <v>737</v>
      </c>
    </row>
    <row r="740" ht="12.75">
      <c r="A740">
        <v>738</v>
      </c>
    </row>
    <row r="741" ht="12.75">
      <c r="A741">
        <v>739</v>
      </c>
    </row>
    <row r="742" ht="12.75">
      <c r="A742">
        <v>740</v>
      </c>
    </row>
    <row r="743" ht="12.75">
      <c r="A743">
        <v>741</v>
      </c>
    </row>
    <row r="744" ht="12.75">
      <c r="A744">
        <v>742</v>
      </c>
    </row>
    <row r="745" ht="12.75">
      <c r="A745">
        <v>743</v>
      </c>
    </row>
    <row r="746" ht="12.75">
      <c r="A746">
        <v>744</v>
      </c>
    </row>
    <row r="747" ht="12.75">
      <c r="A747">
        <v>745</v>
      </c>
    </row>
    <row r="748" ht="12.75">
      <c r="A748">
        <v>746</v>
      </c>
    </row>
    <row r="749" ht="12.75">
      <c r="A749">
        <v>747</v>
      </c>
    </row>
    <row r="750" ht="12.75">
      <c r="A750">
        <v>748</v>
      </c>
    </row>
    <row r="751" ht="12.75">
      <c r="A751">
        <v>749</v>
      </c>
    </row>
    <row r="752" ht="12.75">
      <c r="A752">
        <v>750</v>
      </c>
    </row>
    <row r="753" ht="12.75">
      <c r="A753">
        <v>751</v>
      </c>
    </row>
    <row r="754" ht="12.75">
      <c r="A754">
        <v>752</v>
      </c>
    </row>
    <row r="755" ht="12.75">
      <c r="A755">
        <v>753</v>
      </c>
    </row>
    <row r="756" ht="12.75">
      <c r="A756">
        <v>754</v>
      </c>
    </row>
    <row r="757" ht="12.75">
      <c r="A757">
        <v>755</v>
      </c>
    </row>
    <row r="758" ht="12.75">
      <c r="A758">
        <v>756</v>
      </c>
    </row>
    <row r="759" ht="12.75">
      <c r="A759">
        <v>757</v>
      </c>
    </row>
    <row r="760" ht="12.75">
      <c r="A760">
        <v>758</v>
      </c>
    </row>
    <row r="761" ht="12.75">
      <c r="A761">
        <v>759</v>
      </c>
    </row>
    <row r="762" ht="12.75">
      <c r="A762">
        <v>760</v>
      </c>
    </row>
    <row r="763" ht="12.75">
      <c r="A763">
        <v>761</v>
      </c>
    </row>
    <row r="764" ht="12.75">
      <c r="A764">
        <v>762</v>
      </c>
    </row>
    <row r="765" ht="12.75">
      <c r="A765">
        <v>763</v>
      </c>
    </row>
    <row r="766" ht="12.75">
      <c r="A766">
        <v>764</v>
      </c>
    </row>
    <row r="767" ht="12.75">
      <c r="A767">
        <v>765</v>
      </c>
    </row>
    <row r="768" ht="12.75">
      <c r="A768">
        <v>766</v>
      </c>
    </row>
    <row r="769" ht="12.75">
      <c r="A769">
        <v>767</v>
      </c>
    </row>
    <row r="770" ht="12.75">
      <c r="A770">
        <v>768</v>
      </c>
    </row>
    <row r="771" ht="12.75">
      <c r="A771">
        <v>769</v>
      </c>
    </row>
    <row r="772" ht="12.75">
      <c r="A772">
        <v>770</v>
      </c>
    </row>
    <row r="773" ht="12.75">
      <c r="A773">
        <v>771</v>
      </c>
    </row>
    <row r="774" ht="12.75">
      <c r="A774">
        <v>772</v>
      </c>
    </row>
    <row r="775" ht="12.75">
      <c r="A775">
        <v>773</v>
      </c>
    </row>
    <row r="776" ht="12.75">
      <c r="A776">
        <v>774</v>
      </c>
    </row>
    <row r="777" ht="12.75">
      <c r="A777">
        <v>775</v>
      </c>
    </row>
    <row r="778" ht="12.75">
      <c r="A778">
        <v>776</v>
      </c>
    </row>
    <row r="779" ht="12.75">
      <c r="A779">
        <v>777</v>
      </c>
    </row>
    <row r="780" ht="12.75">
      <c r="A780">
        <v>778</v>
      </c>
    </row>
    <row r="781" ht="12.75">
      <c r="A781">
        <v>779</v>
      </c>
    </row>
    <row r="782" ht="12.75">
      <c r="A782">
        <v>780</v>
      </c>
    </row>
    <row r="783" ht="12.75">
      <c r="A783">
        <v>781</v>
      </c>
    </row>
    <row r="784" ht="12.75">
      <c r="A784">
        <v>782</v>
      </c>
    </row>
    <row r="785" ht="12.75">
      <c r="A785">
        <v>783</v>
      </c>
    </row>
    <row r="786" ht="12.75">
      <c r="A786">
        <v>784</v>
      </c>
    </row>
    <row r="787" ht="12.75">
      <c r="A787">
        <v>785</v>
      </c>
    </row>
    <row r="788" ht="12.75">
      <c r="A788">
        <v>786</v>
      </c>
    </row>
    <row r="789" ht="12.75">
      <c r="A789">
        <v>787</v>
      </c>
    </row>
    <row r="790" ht="12.75">
      <c r="A790">
        <v>788</v>
      </c>
    </row>
    <row r="791" ht="12.75">
      <c r="A791">
        <v>789</v>
      </c>
    </row>
    <row r="792" ht="12.75">
      <c r="A792">
        <v>790</v>
      </c>
    </row>
    <row r="793" ht="12.75">
      <c r="A793">
        <v>791</v>
      </c>
    </row>
    <row r="794" ht="12.75">
      <c r="A794">
        <v>792</v>
      </c>
    </row>
    <row r="795" ht="12.75">
      <c r="A795">
        <v>793</v>
      </c>
    </row>
    <row r="796" ht="12.75">
      <c r="A796">
        <v>794</v>
      </c>
    </row>
    <row r="797" ht="12.75">
      <c r="A797">
        <v>795</v>
      </c>
    </row>
    <row r="798" ht="12.75">
      <c r="A798">
        <v>796</v>
      </c>
    </row>
    <row r="799" ht="12.75">
      <c r="A799">
        <v>797</v>
      </c>
    </row>
    <row r="800" ht="12.75">
      <c r="A800">
        <v>798</v>
      </c>
    </row>
    <row r="801" ht="12.75">
      <c r="A801">
        <v>799</v>
      </c>
    </row>
    <row r="802" ht="12.75">
      <c r="A802">
        <v>800</v>
      </c>
    </row>
    <row r="803" ht="12.75">
      <c r="A803">
        <v>801</v>
      </c>
    </row>
    <row r="804" ht="12.75">
      <c r="A804">
        <v>802</v>
      </c>
    </row>
    <row r="805" ht="12.75">
      <c r="A805">
        <v>803</v>
      </c>
    </row>
    <row r="806" ht="12.75">
      <c r="A806">
        <v>804</v>
      </c>
    </row>
    <row r="807" ht="12.75">
      <c r="A807">
        <v>805</v>
      </c>
    </row>
    <row r="808" ht="12.75">
      <c r="A808">
        <v>806</v>
      </c>
    </row>
    <row r="809" ht="12.75">
      <c r="A809">
        <v>807</v>
      </c>
    </row>
    <row r="810" ht="12.75">
      <c r="A810">
        <v>808</v>
      </c>
    </row>
    <row r="811" ht="12.75">
      <c r="A811">
        <v>809</v>
      </c>
    </row>
    <row r="812" ht="12.75">
      <c r="A812">
        <v>810</v>
      </c>
    </row>
    <row r="813" ht="12.75">
      <c r="A813">
        <v>811</v>
      </c>
    </row>
    <row r="814" ht="12.75">
      <c r="A814">
        <v>812</v>
      </c>
    </row>
    <row r="815" ht="12.75">
      <c r="A815">
        <v>813</v>
      </c>
    </row>
    <row r="816" ht="12.75">
      <c r="A816">
        <v>814</v>
      </c>
    </row>
    <row r="817" ht="12.75">
      <c r="A817">
        <v>815</v>
      </c>
    </row>
    <row r="818" ht="12.75">
      <c r="A818">
        <v>816</v>
      </c>
    </row>
    <row r="819" ht="12.75">
      <c r="A819">
        <v>817</v>
      </c>
    </row>
    <row r="820" ht="12.75">
      <c r="A820">
        <v>818</v>
      </c>
    </row>
    <row r="821" ht="12.75">
      <c r="A821">
        <v>819</v>
      </c>
    </row>
    <row r="822" ht="12.75">
      <c r="A822">
        <v>820</v>
      </c>
    </row>
    <row r="823" ht="12.75">
      <c r="A823">
        <v>821</v>
      </c>
    </row>
    <row r="824" ht="12.75">
      <c r="A824">
        <v>822</v>
      </c>
    </row>
    <row r="825" ht="12.75">
      <c r="A825">
        <v>823</v>
      </c>
    </row>
    <row r="826" ht="12.75">
      <c r="A826">
        <v>824</v>
      </c>
    </row>
    <row r="827" ht="12.75">
      <c r="A827">
        <v>825</v>
      </c>
    </row>
    <row r="828" ht="12.75">
      <c r="A828">
        <v>826</v>
      </c>
    </row>
    <row r="829" ht="12.75">
      <c r="A829">
        <v>827</v>
      </c>
    </row>
    <row r="830" ht="12.75">
      <c r="A830">
        <v>828</v>
      </c>
    </row>
    <row r="831" ht="12.75">
      <c r="A831">
        <v>829</v>
      </c>
    </row>
    <row r="832" ht="12.75">
      <c r="A832">
        <v>830</v>
      </c>
    </row>
    <row r="833" ht="12.75">
      <c r="A833">
        <v>831</v>
      </c>
    </row>
    <row r="834" ht="12.75">
      <c r="A834">
        <v>832</v>
      </c>
    </row>
    <row r="835" ht="12.75">
      <c r="A835">
        <v>833</v>
      </c>
    </row>
    <row r="836" ht="12.75">
      <c r="A836">
        <v>834</v>
      </c>
    </row>
    <row r="837" ht="12.75">
      <c r="A837">
        <v>835</v>
      </c>
    </row>
    <row r="838" ht="12.75">
      <c r="A838">
        <v>836</v>
      </c>
    </row>
    <row r="839" ht="12.75">
      <c r="A839">
        <v>837</v>
      </c>
    </row>
    <row r="840" ht="12.75">
      <c r="A840">
        <v>838</v>
      </c>
    </row>
    <row r="841" ht="12.75">
      <c r="A841">
        <v>839</v>
      </c>
    </row>
    <row r="842" ht="12.75">
      <c r="A842">
        <v>840</v>
      </c>
    </row>
    <row r="843" ht="12.75">
      <c r="A843">
        <v>841</v>
      </c>
    </row>
    <row r="844" ht="12.75">
      <c r="A844">
        <v>842</v>
      </c>
    </row>
    <row r="845" ht="12.75">
      <c r="A845">
        <v>843</v>
      </c>
    </row>
    <row r="846" ht="12.75">
      <c r="A846">
        <v>844</v>
      </c>
    </row>
    <row r="847" ht="12.75">
      <c r="A847">
        <v>845</v>
      </c>
    </row>
    <row r="848" ht="12.75">
      <c r="A848">
        <v>846</v>
      </c>
    </row>
    <row r="849" ht="12.75">
      <c r="A849">
        <v>847</v>
      </c>
    </row>
    <row r="850" ht="12.75">
      <c r="A850">
        <v>848</v>
      </c>
    </row>
    <row r="851" ht="12.75">
      <c r="A851">
        <v>849</v>
      </c>
    </row>
    <row r="852" ht="12.75">
      <c r="A852">
        <v>850</v>
      </c>
    </row>
    <row r="853" ht="12.75">
      <c r="A853">
        <v>851</v>
      </c>
    </row>
    <row r="854" ht="12.75">
      <c r="A854">
        <v>852</v>
      </c>
    </row>
    <row r="855" ht="12.75">
      <c r="A855">
        <v>853</v>
      </c>
    </row>
    <row r="856" ht="12.75">
      <c r="A856">
        <v>854</v>
      </c>
    </row>
    <row r="857" ht="12.75">
      <c r="A857">
        <v>855</v>
      </c>
    </row>
    <row r="858" ht="12.75">
      <c r="A858">
        <v>856</v>
      </c>
    </row>
    <row r="859" ht="12.75">
      <c r="A859">
        <v>857</v>
      </c>
    </row>
    <row r="860" ht="12.75">
      <c r="A860">
        <v>858</v>
      </c>
    </row>
    <row r="861" ht="12.75">
      <c r="A861">
        <v>859</v>
      </c>
    </row>
    <row r="862" ht="12.75">
      <c r="A862">
        <v>860</v>
      </c>
    </row>
    <row r="863" ht="12.75">
      <c r="A863">
        <v>861</v>
      </c>
    </row>
    <row r="864" ht="12.75">
      <c r="A864">
        <v>862</v>
      </c>
    </row>
    <row r="865" ht="12.75">
      <c r="A865">
        <v>863</v>
      </c>
    </row>
    <row r="866" ht="12.75">
      <c r="A866">
        <v>864</v>
      </c>
    </row>
    <row r="867" ht="12.75">
      <c r="A867">
        <v>865</v>
      </c>
    </row>
    <row r="868" ht="12.75">
      <c r="A868">
        <v>866</v>
      </c>
    </row>
    <row r="869" ht="12.75">
      <c r="A869">
        <v>867</v>
      </c>
    </row>
    <row r="870" ht="12.75">
      <c r="A870">
        <v>868</v>
      </c>
    </row>
    <row r="871" ht="12.75">
      <c r="A871">
        <v>869</v>
      </c>
    </row>
    <row r="872" ht="12.75">
      <c r="A872">
        <v>870</v>
      </c>
    </row>
    <row r="873" ht="12.75">
      <c r="A873">
        <v>871</v>
      </c>
    </row>
    <row r="874" ht="12.75">
      <c r="A874">
        <v>872</v>
      </c>
    </row>
    <row r="875" ht="12.75">
      <c r="A875">
        <v>873</v>
      </c>
    </row>
    <row r="876" ht="12.75">
      <c r="A876">
        <v>874</v>
      </c>
    </row>
    <row r="877" ht="12.75">
      <c r="A877">
        <v>875</v>
      </c>
    </row>
    <row r="878" ht="12.75">
      <c r="A878">
        <v>876</v>
      </c>
    </row>
    <row r="879" ht="12.75">
      <c r="A879">
        <v>877</v>
      </c>
    </row>
    <row r="880" ht="12.75">
      <c r="A880">
        <v>878</v>
      </c>
    </row>
    <row r="881" ht="12.75">
      <c r="A881">
        <v>879</v>
      </c>
    </row>
    <row r="882" ht="12.75">
      <c r="A882">
        <v>880</v>
      </c>
    </row>
    <row r="883" ht="12.75">
      <c r="A883">
        <v>881</v>
      </c>
    </row>
    <row r="884" ht="12.75">
      <c r="A884">
        <v>882</v>
      </c>
    </row>
    <row r="885" ht="12.75">
      <c r="A885">
        <v>883</v>
      </c>
    </row>
    <row r="886" ht="12.75">
      <c r="A886">
        <v>884</v>
      </c>
    </row>
    <row r="887" ht="12.75">
      <c r="A887">
        <v>885</v>
      </c>
    </row>
    <row r="888" ht="12.75">
      <c r="A888">
        <v>886</v>
      </c>
    </row>
    <row r="889" ht="12.75">
      <c r="A889">
        <v>887</v>
      </c>
    </row>
    <row r="890" ht="12.75">
      <c r="A890">
        <v>888</v>
      </c>
    </row>
    <row r="891" ht="12.75">
      <c r="A891">
        <v>889</v>
      </c>
    </row>
    <row r="892" ht="12.75">
      <c r="A892">
        <v>890</v>
      </c>
    </row>
    <row r="893" ht="12.75">
      <c r="A893">
        <v>891</v>
      </c>
    </row>
    <row r="894" ht="12.75">
      <c r="A894">
        <v>892</v>
      </c>
    </row>
    <row r="895" ht="12.75">
      <c r="A895">
        <v>893</v>
      </c>
    </row>
    <row r="896" ht="12.75">
      <c r="A896">
        <v>894</v>
      </c>
    </row>
    <row r="897" ht="12.75">
      <c r="A897">
        <v>895</v>
      </c>
    </row>
    <row r="898" ht="12.75">
      <c r="A898">
        <v>896</v>
      </c>
    </row>
    <row r="899" ht="12.75">
      <c r="A899">
        <v>897</v>
      </c>
    </row>
    <row r="900" ht="12.75">
      <c r="A900">
        <v>898</v>
      </c>
    </row>
    <row r="901" ht="12.75">
      <c r="A901">
        <v>899</v>
      </c>
    </row>
    <row r="902" ht="12.75">
      <c r="A902">
        <v>900</v>
      </c>
    </row>
    <row r="903" ht="12.75">
      <c r="A903">
        <v>901</v>
      </c>
    </row>
    <row r="904" ht="12.75">
      <c r="A904">
        <v>902</v>
      </c>
    </row>
    <row r="905" ht="12.75">
      <c r="A905">
        <v>903</v>
      </c>
    </row>
    <row r="906" ht="12.75">
      <c r="A906">
        <v>904</v>
      </c>
    </row>
    <row r="907" ht="12.75">
      <c r="A907">
        <v>905</v>
      </c>
    </row>
    <row r="908" ht="12.75">
      <c r="A908">
        <v>906</v>
      </c>
    </row>
    <row r="909" ht="12.75">
      <c r="A909">
        <v>907</v>
      </c>
    </row>
    <row r="910" ht="12.75">
      <c r="A910">
        <v>908</v>
      </c>
    </row>
    <row r="911" ht="12.75">
      <c r="A911">
        <v>909</v>
      </c>
    </row>
    <row r="912" ht="12.75">
      <c r="A912">
        <v>910</v>
      </c>
    </row>
    <row r="913" ht="12.75">
      <c r="A913">
        <v>911</v>
      </c>
    </row>
    <row r="914" ht="12.75">
      <c r="A914">
        <v>912</v>
      </c>
    </row>
    <row r="915" ht="12.75">
      <c r="A915">
        <v>913</v>
      </c>
    </row>
    <row r="916" ht="12.75">
      <c r="A916">
        <v>914</v>
      </c>
    </row>
    <row r="917" ht="12.75">
      <c r="A917">
        <v>915</v>
      </c>
    </row>
    <row r="918" ht="12.75">
      <c r="A918">
        <v>916</v>
      </c>
    </row>
    <row r="919" ht="12.75">
      <c r="A919">
        <v>917</v>
      </c>
    </row>
    <row r="920" ht="12.75">
      <c r="A920">
        <v>918</v>
      </c>
    </row>
    <row r="921" ht="12.75">
      <c r="A921">
        <v>919</v>
      </c>
    </row>
    <row r="922" ht="12.75">
      <c r="A922">
        <v>920</v>
      </c>
    </row>
    <row r="923" ht="12.75">
      <c r="A923">
        <v>921</v>
      </c>
    </row>
    <row r="924" ht="12.75">
      <c r="A924">
        <v>922</v>
      </c>
    </row>
    <row r="925" ht="12.75">
      <c r="A925">
        <v>923</v>
      </c>
    </row>
    <row r="926" ht="12.75">
      <c r="A926">
        <v>924</v>
      </c>
    </row>
    <row r="927" ht="12.75">
      <c r="A927">
        <v>925</v>
      </c>
    </row>
    <row r="928" ht="12.75">
      <c r="A928">
        <v>926</v>
      </c>
    </row>
    <row r="929" ht="12.75">
      <c r="A929">
        <v>927</v>
      </c>
    </row>
    <row r="930" ht="12.75">
      <c r="A930">
        <v>928</v>
      </c>
    </row>
    <row r="931" ht="12.75">
      <c r="A931">
        <v>929</v>
      </c>
    </row>
    <row r="932" ht="12.75">
      <c r="A932">
        <v>930</v>
      </c>
    </row>
    <row r="933" ht="12.75">
      <c r="A933">
        <v>931</v>
      </c>
    </row>
    <row r="934" ht="12.75">
      <c r="A934">
        <v>932</v>
      </c>
    </row>
    <row r="935" ht="12.75">
      <c r="A935">
        <v>933</v>
      </c>
    </row>
    <row r="936" ht="12.75">
      <c r="A936">
        <v>934</v>
      </c>
    </row>
    <row r="937" ht="12.75">
      <c r="A937">
        <v>935</v>
      </c>
    </row>
    <row r="938" ht="12.75">
      <c r="A938">
        <v>936</v>
      </c>
    </row>
    <row r="939" ht="12.75">
      <c r="A939">
        <v>937</v>
      </c>
    </row>
    <row r="940" ht="12.75">
      <c r="A940">
        <v>938</v>
      </c>
    </row>
    <row r="941" ht="12.75">
      <c r="A941">
        <v>939</v>
      </c>
    </row>
    <row r="942" ht="12.75">
      <c r="A942">
        <v>940</v>
      </c>
    </row>
    <row r="943" ht="12.75">
      <c r="A943">
        <v>941</v>
      </c>
    </row>
    <row r="944" ht="12.75">
      <c r="A944">
        <v>942</v>
      </c>
    </row>
    <row r="945" ht="12.75">
      <c r="A945">
        <v>943</v>
      </c>
    </row>
    <row r="946" ht="12.75">
      <c r="A946">
        <v>944</v>
      </c>
    </row>
    <row r="947" ht="12.75">
      <c r="A947">
        <v>945</v>
      </c>
    </row>
    <row r="948" ht="12.75">
      <c r="A948">
        <v>946</v>
      </c>
    </row>
    <row r="949" ht="12.75">
      <c r="A949">
        <v>947</v>
      </c>
    </row>
    <row r="950" ht="12.75">
      <c r="A950">
        <v>948</v>
      </c>
    </row>
    <row r="951" ht="12.75">
      <c r="A951">
        <v>949</v>
      </c>
    </row>
    <row r="952" ht="12.75">
      <c r="A952">
        <v>950</v>
      </c>
    </row>
    <row r="953" ht="12.75">
      <c r="A953">
        <v>951</v>
      </c>
    </row>
    <row r="954" ht="12.75">
      <c r="A954">
        <v>952</v>
      </c>
    </row>
    <row r="955" ht="12.75">
      <c r="A955">
        <v>953</v>
      </c>
    </row>
    <row r="956" ht="12.75">
      <c r="A956">
        <v>954</v>
      </c>
    </row>
    <row r="957" ht="12.75">
      <c r="A957">
        <v>955</v>
      </c>
    </row>
    <row r="958" ht="12.75">
      <c r="A958">
        <v>956</v>
      </c>
    </row>
    <row r="959" ht="12.75">
      <c r="A959">
        <v>957</v>
      </c>
    </row>
    <row r="960" ht="12.75">
      <c r="A960">
        <v>958</v>
      </c>
    </row>
    <row r="961" ht="12.75">
      <c r="A961">
        <v>959</v>
      </c>
    </row>
    <row r="962" ht="12.75">
      <c r="A962">
        <v>960</v>
      </c>
    </row>
    <row r="963" ht="12.75">
      <c r="A963">
        <v>961</v>
      </c>
    </row>
    <row r="964" ht="12.75">
      <c r="A964">
        <v>962</v>
      </c>
    </row>
    <row r="965" ht="12.75">
      <c r="A965">
        <v>963</v>
      </c>
    </row>
    <row r="966" ht="12.75">
      <c r="A966">
        <v>964</v>
      </c>
    </row>
    <row r="967" ht="12.75">
      <c r="A967">
        <v>965</v>
      </c>
    </row>
    <row r="968" ht="12.75">
      <c r="A968">
        <v>966</v>
      </c>
    </row>
    <row r="969" ht="12.75">
      <c r="A969">
        <v>967</v>
      </c>
    </row>
    <row r="970" ht="12.75">
      <c r="A970">
        <v>968</v>
      </c>
    </row>
    <row r="971" ht="12.75">
      <c r="A971">
        <v>969</v>
      </c>
    </row>
    <row r="972" ht="12.75">
      <c r="A972">
        <v>970</v>
      </c>
    </row>
    <row r="973" ht="12.75">
      <c r="A973">
        <v>971</v>
      </c>
    </row>
    <row r="974" ht="12.75">
      <c r="A974">
        <v>972</v>
      </c>
    </row>
    <row r="975" ht="12.75">
      <c r="A975">
        <v>973</v>
      </c>
    </row>
    <row r="976" ht="12.75">
      <c r="A976">
        <v>974</v>
      </c>
    </row>
    <row r="977" ht="12.75">
      <c r="A977">
        <v>975</v>
      </c>
    </row>
    <row r="978" ht="12.75">
      <c r="A978">
        <v>976</v>
      </c>
    </row>
    <row r="979" ht="12.75">
      <c r="A979">
        <v>977</v>
      </c>
    </row>
    <row r="980" ht="12.75">
      <c r="A980">
        <v>978</v>
      </c>
    </row>
    <row r="981" ht="12.75">
      <c r="A981">
        <v>979</v>
      </c>
    </row>
    <row r="982" ht="12.75">
      <c r="A982">
        <v>980</v>
      </c>
    </row>
    <row r="983" ht="12.75">
      <c r="A983">
        <v>981</v>
      </c>
    </row>
    <row r="984" ht="12.75">
      <c r="A984">
        <v>982</v>
      </c>
    </row>
    <row r="985" ht="12.75">
      <c r="A985">
        <v>983</v>
      </c>
    </row>
    <row r="986" ht="12.75">
      <c r="A986">
        <v>984</v>
      </c>
    </row>
    <row r="987" ht="12.75">
      <c r="A987">
        <v>985</v>
      </c>
    </row>
    <row r="988" ht="12.75">
      <c r="A988">
        <v>986</v>
      </c>
    </row>
    <row r="989" ht="12.75">
      <c r="A989">
        <v>987</v>
      </c>
    </row>
    <row r="990" ht="12.75">
      <c r="A990">
        <v>988</v>
      </c>
    </row>
    <row r="991" ht="12.75">
      <c r="A991">
        <v>989</v>
      </c>
    </row>
    <row r="992" ht="12.75">
      <c r="A992">
        <v>990</v>
      </c>
    </row>
    <row r="993" ht="12.75">
      <c r="A993">
        <v>991</v>
      </c>
    </row>
    <row r="994" ht="12.75">
      <c r="A994">
        <v>992</v>
      </c>
    </row>
    <row r="995" ht="12.75">
      <c r="A995">
        <v>993</v>
      </c>
    </row>
    <row r="996" ht="12.75">
      <c r="A996">
        <v>994</v>
      </c>
    </row>
    <row r="997" ht="12.75">
      <c r="A997">
        <v>995</v>
      </c>
    </row>
    <row r="998" ht="12.75">
      <c r="A998">
        <v>996</v>
      </c>
    </row>
    <row r="999" ht="12.75">
      <c r="A999">
        <v>997</v>
      </c>
    </row>
    <row r="1000" ht="12.75">
      <c r="A1000">
        <v>998</v>
      </c>
    </row>
    <row r="1001" ht="12.75">
      <c r="A1001">
        <v>999</v>
      </c>
    </row>
    <row r="1002" ht="12.75">
      <c r="A1002">
        <v>1000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N7" sqref="N7"/>
    </sheetView>
  </sheetViews>
  <sheetFormatPr defaultColWidth="9.140625" defaultRowHeight="12.75"/>
  <cols>
    <col min="1" max="1" width="9.140625" style="4" customWidth="1"/>
    <col min="2" max="2" width="12.140625" style="4" customWidth="1"/>
    <col min="3" max="3" width="20.421875" style="4" customWidth="1"/>
    <col min="4" max="4" width="11.57421875" style="4" customWidth="1"/>
    <col min="5" max="5" width="10.7109375" style="4" customWidth="1"/>
    <col min="6" max="6" width="10.28125" style="4" customWidth="1"/>
    <col min="7" max="7" width="6.00390625" style="4" customWidth="1"/>
    <col min="8" max="8" width="5.7109375" style="4" customWidth="1"/>
    <col min="9" max="9" width="5.00390625" style="4" customWidth="1"/>
    <col min="10" max="10" width="5.28125" style="4" customWidth="1"/>
    <col min="11" max="11" width="5.00390625" style="4" customWidth="1"/>
    <col min="12" max="12" width="6.28125" style="4" customWidth="1"/>
    <col min="13" max="13" width="5.8515625" style="4" customWidth="1"/>
    <col min="14" max="14" width="6.28125" style="4" customWidth="1"/>
    <col min="15" max="15" width="25.00390625" style="4" customWidth="1"/>
    <col min="16" max="16384" width="9.140625" style="4" customWidth="1"/>
  </cols>
  <sheetData>
    <row r="1" spans="1:5" s="1" customFormat="1" ht="12.75">
      <c r="A1" s="16" t="s">
        <v>40</v>
      </c>
      <c r="C1" s="1" t="s">
        <v>0</v>
      </c>
      <c r="E1" s="1" t="s">
        <v>1</v>
      </c>
    </row>
    <row r="2" spans="1:15" s="1" customFormat="1" ht="13.5" thickBot="1">
      <c r="A2" s="17">
        <f>'Discs to Print'!A2</f>
        <v>96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1" t="s">
        <v>15</v>
      </c>
    </row>
    <row r="3" spans="1:15" ht="12.75">
      <c r="A3" s="4">
        <f>A2</f>
        <v>96</v>
      </c>
      <c r="B3" s="1" t="str">
        <f>VLOOKUP(A3,DATA,2,FALSE)</f>
        <v>Andy</v>
      </c>
      <c r="C3" s="1" t="str">
        <f>VLOOKUP(A3,DATA,3,FALSE)</f>
        <v>SHEETS</v>
      </c>
      <c r="D3" s="1" t="str">
        <f>VLOOKUP(A3,DATA,4,FALSE)</f>
        <v>Hanshin (CL) 2005</v>
      </c>
      <c r="E3" s="1" t="str">
        <f>VLOOKUP(A3,DATA,5,FALSE)</f>
        <v>Shortstop</v>
      </c>
      <c r="F3" s="1">
        <f>IF(VLOOKUP(A3,DATA,6,FALSE)=0,"",VLOOKUP(A3,DATA,6,FALSE))</f>
      </c>
      <c r="G3" s="1">
        <f>VLOOKUP(A3,DATA,7,FALSE)</f>
        <v>560</v>
      </c>
      <c r="H3" s="1">
        <f>VLOOKUP(A3,DATA,8,FALSE)</f>
        <v>162</v>
      </c>
      <c r="I3" s="1">
        <f>VLOOKUP(A3,DATA,9,FALSE)</f>
        <v>38</v>
      </c>
      <c r="J3" s="1">
        <f>VLOOKUP(A3,DATA,10,FALSE)</f>
        <v>1</v>
      </c>
      <c r="K3" s="1">
        <f>VLOOKUP(A3,DATA,11,FALSE)</f>
        <v>19</v>
      </c>
      <c r="L3" s="1">
        <f>VLOOKUP(A3,DATA,12,FALSE)</f>
        <v>46</v>
      </c>
      <c r="M3" s="1">
        <f>VLOOKUP(A3,DATA,13,FALSE)</f>
        <v>145</v>
      </c>
      <c r="N3" s="1">
        <f>VLOOKUP(A3,DATA,14,FALSE)</f>
        <v>40</v>
      </c>
      <c r="O3" s="4" t="str">
        <f>VLOOKUP(A3,DATA,15,FALSE)</f>
        <v>Avg:  .289
Bats:  Right
SB:  1/3/33%</v>
      </c>
    </row>
    <row r="4" spans="1:15" ht="12.75">
      <c r="A4" s="4">
        <f>A2+1</f>
        <v>97</v>
      </c>
      <c r="B4" s="1" t="str">
        <f>VLOOKUP(A4,DATA,2,FALSE)</f>
        <v>Shane</v>
      </c>
      <c r="C4" s="1" t="str">
        <f>VLOOKUP(A4,DATA,3,FALSE)</f>
        <v>SPENCER</v>
      </c>
      <c r="D4" s="1" t="str">
        <f>VLOOKUP(A4,DATA,4,FALSE)</f>
        <v>Hanshin (CL) 2005</v>
      </c>
      <c r="E4" s="1" t="str">
        <f>VLOOKUP(A4,DATA,5,FALSE)</f>
        <v>Outfield</v>
      </c>
      <c r="F4" s="1">
        <f>IF(VLOOKUP(A4,DATA,6,FALSE)=0,"",VLOOKUP(A4,DATA,6,FALSE))</f>
      </c>
      <c r="G4" s="1">
        <f>VLOOKUP(A4,DATA,7,FALSE)</f>
        <v>276</v>
      </c>
      <c r="H4" s="1">
        <f>VLOOKUP(A4,DATA,8,FALSE)</f>
        <v>67</v>
      </c>
      <c r="I4" s="1">
        <f>VLOOKUP(A4,DATA,9,FALSE)</f>
        <v>16</v>
      </c>
      <c r="J4" s="1">
        <f>VLOOKUP(A4,DATA,10,FALSE)</f>
        <v>0</v>
      </c>
      <c r="K4" s="1">
        <f>VLOOKUP(A4,DATA,11,FALSE)</f>
        <v>9</v>
      </c>
      <c r="L4" s="1">
        <f>VLOOKUP(A4,DATA,12,FALSE)</f>
        <v>34</v>
      </c>
      <c r="M4" s="1">
        <f>VLOOKUP(A4,DATA,13,FALSE)</f>
        <v>70</v>
      </c>
      <c r="N4" s="1">
        <f>VLOOKUP(A4,DATA,14,FALSE)</f>
        <v>40</v>
      </c>
      <c r="O4" s="4" t="str">
        <f>VLOOKUP(A4,DATA,15,FALSE)</f>
        <v>Avg:  .243
Bats:  Right
SB:  0/1/0%</v>
      </c>
    </row>
    <row r="5" spans="1:15" ht="12.75">
      <c r="A5" s="4">
        <f>A2+2</f>
        <v>98</v>
      </c>
      <c r="B5" s="1" t="str">
        <f>VLOOKUP(A5,DATA,2,FALSE)</f>
        <v>Shuta</v>
      </c>
      <c r="C5" s="1" t="str">
        <f>VLOOKUP(A5,DATA,3,FALSE)</f>
        <v>TANAKA</v>
      </c>
      <c r="D5" s="1" t="str">
        <f>VLOOKUP(A5,DATA,4,FALSE)</f>
        <v>Hanshin (CL) 2005</v>
      </c>
      <c r="E5" s="1" t="str">
        <f>VLOOKUP(A5,DATA,5,FALSE)</f>
        <v>2nd Base</v>
      </c>
      <c r="F5" s="1" t="str">
        <f>IF(VLOOKUP(A5,DATA,6,FALSE)=0,"",VLOOKUP(A5,DATA,6,FALSE))</f>
        <v>3rd Base/PR</v>
      </c>
      <c r="G5" s="1">
        <f>VLOOKUP(A5,DATA,7,FALSE)</f>
        <v>5</v>
      </c>
      <c r="H5" s="1">
        <f>VLOOKUP(A5,DATA,8,FALSE)</f>
        <v>0</v>
      </c>
      <c r="I5" s="1">
        <f>VLOOKUP(A5,DATA,9,FALSE)</f>
        <v>0</v>
      </c>
      <c r="J5" s="1">
        <f>VLOOKUP(A5,DATA,10,FALSE)</f>
        <v>0</v>
      </c>
      <c r="K5" s="1">
        <f>VLOOKUP(A5,DATA,11,FALSE)</f>
        <v>0</v>
      </c>
      <c r="L5" s="1">
        <f>VLOOKUP(A5,DATA,12,FALSE)</f>
        <v>0</v>
      </c>
      <c r="M5" s="1">
        <f>VLOOKUP(A5,DATA,13,FALSE)</f>
        <v>2</v>
      </c>
      <c r="N5" s="1">
        <f>VLOOKUP(A5,DATA,14,FALSE)</f>
        <v>40</v>
      </c>
      <c r="O5" s="4" t="str">
        <f>VLOOKUP(A5,DATA,15,FALSE)</f>
        <v>Avg:  .000 (5 ABs)
Bats:  Left
SB:  0/2/0%</v>
      </c>
    </row>
    <row r="6" spans="1:15" ht="12.75">
      <c r="A6" s="4">
        <f>A2+3</f>
        <v>99</v>
      </c>
      <c r="B6" s="1" t="str">
        <f>VLOOKUP(A6,DATA,2,FALSE)</f>
        <v>Takashi</v>
      </c>
      <c r="C6" s="1" t="str">
        <f>VLOOKUP(A6,DATA,3,FALSE)</f>
        <v>TORITANI</v>
      </c>
      <c r="D6" s="1" t="str">
        <f>VLOOKUP(A6,DATA,4,FALSE)</f>
        <v>Hanshin (CL) 2005</v>
      </c>
      <c r="E6" s="1" t="str">
        <f>VLOOKUP(A6,DATA,5,FALSE)</f>
        <v>Shortstop</v>
      </c>
      <c r="F6" s="1" t="str">
        <f>IF(VLOOKUP(A6,DATA,6,FALSE)=0,"",VLOOKUP(A6,DATA,6,FALSE))</f>
        <v>3rd Base</v>
      </c>
      <c r="G6" s="1">
        <f>VLOOKUP(A6,DATA,7,FALSE)</f>
        <v>572</v>
      </c>
      <c r="H6" s="1">
        <f>VLOOKUP(A6,DATA,8,FALSE)</f>
        <v>159</v>
      </c>
      <c r="I6" s="1">
        <f>VLOOKUP(A6,DATA,9,FALSE)</f>
        <v>27</v>
      </c>
      <c r="J6" s="1">
        <f>VLOOKUP(A6,DATA,10,FALSE)</f>
        <v>1</v>
      </c>
      <c r="K6" s="1">
        <f>VLOOKUP(A6,DATA,11,FALSE)</f>
        <v>9</v>
      </c>
      <c r="L6" s="1">
        <f>VLOOKUP(A6,DATA,12,FALSE)</f>
        <v>53</v>
      </c>
      <c r="M6" s="1">
        <f>VLOOKUP(A6,DATA,13,FALSE)</f>
        <v>115</v>
      </c>
      <c r="N6" s="1">
        <f>VLOOKUP(A6,DATA,14,FALSE)</f>
        <v>40</v>
      </c>
      <c r="O6" s="4" t="str">
        <f>VLOOKUP(A6,DATA,15,FALSE)</f>
        <v>Avg:  .278
Bats:  Left
SB:  5/10/50%</v>
      </c>
    </row>
    <row r="7" spans="1:15" ht="12.75">
      <c r="A7" s="4">
        <f>A2+4</f>
        <v>100</v>
      </c>
      <c r="B7" s="1" t="str">
        <f>VLOOKUP(A7,DATA,2,FALSE)</f>
        <v>Akihiro</v>
      </c>
      <c r="C7" s="1" t="str">
        <f>VLOOKUP(A7,DATA,3,FALSE)</f>
        <v>YANO</v>
      </c>
      <c r="D7" s="1" t="str">
        <f>VLOOKUP(A7,DATA,4,FALSE)</f>
        <v>Hanshin (CL) 2005</v>
      </c>
      <c r="E7" s="1" t="str">
        <f>VLOOKUP(A7,DATA,5,FALSE)</f>
        <v>Catcher</v>
      </c>
      <c r="F7" s="1">
        <f>IF(VLOOKUP(A7,DATA,6,FALSE)=0,"",VLOOKUP(A7,DATA,6,FALSE))</f>
      </c>
      <c r="G7" s="1">
        <f>VLOOKUP(A7,DATA,7,FALSE)</f>
        <v>499</v>
      </c>
      <c r="H7" s="1">
        <f>VLOOKUP(A7,DATA,8,FALSE)</f>
        <v>135</v>
      </c>
      <c r="I7" s="1">
        <f>VLOOKUP(A7,DATA,9,FALSE)</f>
        <v>26</v>
      </c>
      <c r="J7" s="1">
        <f>VLOOKUP(A7,DATA,10,FALSE)</f>
        <v>0</v>
      </c>
      <c r="K7" s="1">
        <f>VLOOKUP(A7,DATA,11,FALSE)</f>
        <v>19</v>
      </c>
      <c r="L7" s="1">
        <f>VLOOKUP(A7,DATA,12,FALSE)</f>
        <v>32</v>
      </c>
      <c r="M7" s="1">
        <f>VLOOKUP(A7,DATA,13,FALSE)</f>
        <v>113</v>
      </c>
      <c r="N7" s="1">
        <f>VLOOKUP(A7,DATA,14,FALSE)</f>
        <v>40</v>
      </c>
      <c r="O7" s="4" t="str">
        <f>VLOOKUP(A7,DATA,15,FALSE)</f>
        <v>Avg:  .271
Bats:  Right
SB:  1/2/50%</v>
      </c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D13">
      <selection activeCell="Q24" sqref="Q24"/>
    </sheetView>
  </sheetViews>
  <sheetFormatPr defaultColWidth="9.140625" defaultRowHeight="12.75"/>
  <cols>
    <col min="1" max="1" width="0" style="0" hidden="1" customWidth="1"/>
  </cols>
  <sheetData>
    <row r="1" spans="1:9" ht="12.75">
      <c r="A1" s="19" t="s">
        <v>41</v>
      </c>
      <c r="I1" s="27" t="s">
        <v>46</v>
      </c>
    </row>
    <row r="2" ht="13.5" thickBot="1">
      <c r="A2" s="20">
        <v>96</v>
      </c>
    </row>
    <row r="3" ht="12.75">
      <c r="I3" s="27"/>
    </row>
  </sheetData>
  <printOptions/>
  <pageMargins left="0" right="0" top="0" bottom="0" header="0" footer="0"/>
  <pageSetup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6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16</v>
      </c>
      <c r="B1" s="6" t="s">
        <v>17</v>
      </c>
      <c r="C1" s="5" t="s">
        <v>18</v>
      </c>
      <c r="D1" s="7" t="s">
        <v>19</v>
      </c>
      <c r="F1">
        <f>E2+E7</f>
        <v>606</v>
      </c>
    </row>
    <row r="2" spans="1:9" ht="12.75">
      <c r="A2" s="59" t="str">
        <f>IF(B2&gt;0,C2," ")</f>
        <v>1</v>
      </c>
      <c r="B2" s="9">
        <f>VLOOKUP(1,pattern,2,FALSE)</f>
        <v>0.03135313531353135</v>
      </c>
      <c r="C2" s="61" t="str">
        <f>VLOOKUP(1,pattern,3,FALSE)</f>
        <v>1</v>
      </c>
      <c r="D2" s="11" t="s">
        <v>20</v>
      </c>
      <c r="E2" s="25">
        <f>IF(stats!G3&gt;0,stats!G3,1)</f>
        <v>560</v>
      </c>
      <c r="H2" t="s">
        <v>21</v>
      </c>
      <c r="I2" s="25" t="str">
        <f>IF(stats!B3=0,"",stats!B3)</f>
        <v>Andy</v>
      </c>
    </row>
    <row r="3" spans="1:9" ht="12.75">
      <c r="A3" s="59" t="str">
        <f aca="true" t="shared" si="0" ref="A3:A19">IF(B3&gt;0,C3," ")</f>
        <v>10</v>
      </c>
      <c r="B3" s="9">
        <f>VLOOKUP(2,pattern,2,FALSE)</f>
        <v>0.23927392739273928</v>
      </c>
      <c r="C3" s="61" t="str">
        <f>VLOOKUP(2,pattern,3,FALSE)</f>
        <v>10</v>
      </c>
      <c r="D3" s="11" t="s">
        <v>22</v>
      </c>
      <c r="E3" s="25">
        <f>stats!H3</f>
        <v>162</v>
      </c>
      <c r="H3" t="s">
        <v>23</v>
      </c>
      <c r="I3" s="26" t="str">
        <f>IF(stats!C3=0,"",stats!C3)</f>
        <v>SHEETS</v>
      </c>
    </row>
    <row r="4" spans="1:9" ht="12.75">
      <c r="A4" s="59" t="str">
        <f t="shared" si="0"/>
        <v>7</v>
      </c>
      <c r="B4" s="9">
        <f>VLOOKUP(3,pattern,2,FALSE)</f>
        <v>0.0429042904290429</v>
      </c>
      <c r="C4" s="61" t="str">
        <f>VLOOKUP(3,pattern,3,FALSE)</f>
        <v>7</v>
      </c>
      <c r="D4" s="11" t="s">
        <v>24</v>
      </c>
      <c r="E4" s="25">
        <f>stats!I3</f>
        <v>38</v>
      </c>
      <c r="F4">
        <f>E4/F1</f>
        <v>0.0627062706270627</v>
      </c>
      <c r="H4" t="s">
        <v>4</v>
      </c>
      <c r="I4" s="25" t="str">
        <f>IF(stats!D3=0,"",stats!D3)</f>
        <v>Hanshin (CL) 2005</v>
      </c>
    </row>
    <row r="5" spans="1:9" ht="12.75">
      <c r="A5" s="59" t="str">
        <f t="shared" si="0"/>
        <v>6</v>
      </c>
      <c r="B5" s="9">
        <f>VLOOKUP(4,pattern,2,FALSE)</f>
        <v>0.0693036303630363</v>
      </c>
      <c r="C5" s="61" t="str">
        <f>VLOOKUP(4,pattern,3,FALSE)</f>
        <v>6</v>
      </c>
      <c r="D5" s="11" t="s">
        <v>25</v>
      </c>
      <c r="E5" s="25">
        <f>stats!J3</f>
        <v>1</v>
      </c>
      <c r="F5">
        <f>E5/F1</f>
        <v>0.0016501650165016502</v>
      </c>
      <c r="H5" t="s">
        <v>26</v>
      </c>
      <c r="I5" s="25">
        <f>IF(OR(stats!F3="",stats!F3=0),"",stats!E3)</f>
      </c>
    </row>
    <row r="6" spans="1:9" ht="12.75">
      <c r="A6" s="59" t="str">
        <f t="shared" si="0"/>
        <v>11</v>
      </c>
      <c r="B6" s="9">
        <f>VLOOKUP(5,pattern,2,FALSE)</f>
        <v>0.0627062706270627</v>
      </c>
      <c r="C6" s="61" t="str">
        <f>VLOOKUP(5,pattern,3,FALSE)</f>
        <v>11</v>
      </c>
      <c r="D6" s="11" t="s">
        <v>27</v>
      </c>
      <c r="E6" s="25">
        <f>stats!K3</f>
        <v>19</v>
      </c>
      <c r="F6">
        <f>E6/F1</f>
        <v>0.03135313531353135</v>
      </c>
      <c r="G6" s="12"/>
      <c r="H6" t="s">
        <v>28</v>
      </c>
      <c r="I6" s="25" t="str">
        <f>IF(stats!F3="",stats!E3,IF(stats!F3=0,"pinch hitter",stats!F3))</f>
        <v>Shortstop</v>
      </c>
    </row>
    <row r="7" spans="1:9" ht="12.75">
      <c r="A7" s="59" t="str">
        <f t="shared" si="0"/>
        <v>14</v>
      </c>
      <c r="B7" s="9">
        <f>VLOOKUP(6,pattern,2,FALSE)</f>
        <v>0.12524752475247525</v>
      </c>
      <c r="C7" s="61" t="str">
        <f>VLOOKUP(6,pattern,3,FALSE)</f>
        <v>14</v>
      </c>
      <c r="D7" s="11" t="s">
        <v>29</v>
      </c>
      <c r="E7" s="25">
        <f>stats!L3</f>
        <v>46</v>
      </c>
      <c r="F7">
        <f>E7/F1</f>
        <v>0.07590759075907591</v>
      </c>
      <c r="H7" t="s">
        <v>15</v>
      </c>
      <c r="I7" s="25" t="str">
        <f>IF(stats!O3=0,"",IF(OR(stats!O3="s",stats!O3="S"),E15,stats!O3))</f>
        <v>Avg:  .289
Bats:  Right
SB:  1/3/33%</v>
      </c>
    </row>
    <row r="8" spans="1:5" ht="12.75">
      <c r="A8" s="59" t="str">
        <f t="shared" si="0"/>
        <v>2</v>
      </c>
      <c r="B8" s="9">
        <f>VLOOKUP(7,pattern,2,FALSE)</f>
        <v>0.04174917491749175</v>
      </c>
      <c r="C8" s="61" t="str">
        <f>VLOOKUP(7,pattern,3,FALSE)</f>
        <v>2</v>
      </c>
      <c r="E8" s="25"/>
    </row>
    <row r="9" spans="1:11" ht="12.75">
      <c r="A9" s="59" t="str">
        <f t="shared" si="0"/>
        <v>9</v>
      </c>
      <c r="B9" s="9">
        <f>VLOOKUP(8,pattern,2,FALSE)</f>
        <v>0.07590759075907591</v>
      </c>
      <c r="C9" s="61" t="str">
        <f>VLOOKUP(8,pattern,3,FALSE)</f>
        <v>9</v>
      </c>
      <c r="D9" s="11" t="s">
        <v>30</v>
      </c>
      <c r="E9" s="25">
        <f>stats!M3</f>
        <v>145</v>
      </c>
      <c r="F9">
        <f>E9/F1</f>
        <v>0.23927392739273928</v>
      </c>
      <c r="G9" s="12"/>
      <c r="I9" t="s">
        <v>70</v>
      </c>
      <c r="K9" t="s">
        <v>31</v>
      </c>
    </row>
    <row r="10" spans="1:11" ht="12.75">
      <c r="A10" s="59" t="str">
        <f t="shared" si="0"/>
        <v>4</v>
      </c>
      <c r="B10" s="9">
        <f>VLOOKUP(9,pattern,2,FALSE)</f>
        <v>0.03757425742574257</v>
      </c>
      <c r="C10" s="61" t="str">
        <f>VLOOKUP(9,pattern,3,FALSE)</f>
        <v>4</v>
      </c>
      <c r="D10" s="11" t="s">
        <v>32</v>
      </c>
      <c r="E10" s="13" t="s">
        <v>33</v>
      </c>
      <c r="F10">
        <f>(E3-E4-E5-E6)/F1</f>
        <v>0.1716171617161716</v>
      </c>
      <c r="G10" s="14" t="s">
        <v>14</v>
      </c>
      <c r="H10" s="25">
        <f>IF(stats!N3&lt;1,50,IF(stats!N3&gt;75,75,stats!N3))</f>
        <v>40</v>
      </c>
      <c r="I10">
        <f>(H10/100)*F11*SETUP!B14</f>
        <v>0.166996699669967</v>
      </c>
      <c r="K10" t="s">
        <v>34</v>
      </c>
    </row>
    <row r="11" spans="1:9" ht="12.75">
      <c r="A11" s="59" t="str">
        <f t="shared" si="0"/>
        <v>5</v>
      </c>
      <c r="B11" s="9">
        <f>VLOOKUP(10,pattern,2,FALSE)</f>
        <v>0.0016501650165016502</v>
      </c>
      <c r="C11" s="61" t="str">
        <f>VLOOKUP(10,pattern,3,FALSE)</f>
        <v>5</v>
      </c>
      <c r="D11" s="11" t="s">
        <v>35</v>
      </c>
      <c r="E11" s="13" t="s">
        <v>33</v>
      </c>
      <c r="F11">
        <f>(E2-E3-E9)/F1</f>
        <v>0.4174917491749175</v>
      </c>
      <c r="G11" s="11" t="s">
        <v>36</v>
      </c>
      <c r="H11">
        <f>100-H10</f>
        <v>60</v>
      </c>
      <c r="I11">
        <f>(H11/100)*F11*SETUP!B14</f>
        <v>0.2504950495049505</v>
      </c>
    </row>
    <row r="12" spans="1:8" ht="12.75">
      <c r="A12" s="59" t="str">
        <f t="shared" si="0"/>
        <v>12</v>
      </c>
      <c r="B12" s="9">
        <f>VLOOKUP(11,pattern,2,FALSE)</f>
        <v>0.05594389438943895</v>
      </c>
      <c r="C12" s="61" t="str">
        <f>VLOOKUP(11,pattern,3,FALSE)</f>
        <v>12</v>
      </c>
      <c r="D12" s="11" t="s">
        <v>37</v>
      </c>
      <c r="E12" s="22" t="str">
        <f>IF(E3=E4,"1.000",TEXT(E3/E2,".000"))</f>
        <v>.289</v>
      </c>
      <c r="G12" s="11" t="s">
        <v>56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VLOOKUP(12,pattern,2,FALSE)</f>
        <v>0.12871287128712872</v>
      </c>
      <c r="C13" s="61" t="str">
        <f>VLOOKUP(12,pattern,3,FALSE)</f>
        <v>13</v>
      </c>
      <c r="F13">
        <f>SUM(F4:F11)</f>
        <v>1</v>
      </c>
      <c r="G13" t="s">
        <v>38</v>
      </c>
    </row>
    <row r="14" spans="1:5" ht="12.75">
      <c r="A14" s="59" t="str">
        <f t="shared" si="0"/>
        <v>3</v>
      </c>
      <c r="B14" s="9">
        <f>VLOOKUP(13,pattern,2,FALSE)</f>
        <v>0.012524752475247525</v>
      </c>
      <c r="C14" s="61" t="str">
        <f>VLOOKUP(13,pattern,3,FALSE)</f>
        <v>3</v>
      </c>
      <c r="E14" s="21" t="s">
        <v>43</v>
      </c>
    </row>
    <row r="15" spans="1:5" ht="12.75">
      <c r="A15" s="59" t="str">
        <f t="shared" si="0"/>
        <v>8</v>
      </c>
      <c r="B15" s="9">
        <f>VLOOKUP(14,pattern,2,FALSE)</f>
        <v>0.050099009900990095</v>
      </c>
      <c r="C15" s="61" t="str">
        <f>VLOOKUP(14,pattern,3,FALSE)</f>
        <v>8</v>
      </c>
      <c r="E15" s="24" t="str">
        <f>CONCATENATE("AB:",E2,"  HR:",E6,"  AVE:",T(E12))</f>
        <v>AB:560  HR:19  AVE:.289</v>
      </c>
    </row>
    <row r="16" spans="1:3" ht="12.75">
      <c r="A16" s="59" t="str">
        <f t="shared" si="0"/>
        <v> </v>
      </c>
      <c r="B16" s="9">
        <f>VLOOKUP(15,pattern,2,FALSE)</f>
        <v>0</v>
      </c>
      <c r="C16" s="61" t="str">
        <f>VLOOKUP(15,pattern,3,FALSE)</f>
        <v>9</v>
      </c>
    </row>
    <row r="17" spans="1:3" ht="12.75">
      <c r="A17" s="59" t="str">
        <f t="shared" si="0"/>
        <v> </v>
      </c>
      <c r="B17" s="9">
        <f>VLOOKUP(16,pattern,2,FALSE)</f>
        <v>0</v>
      </c>
      <c r="C17" s="61" t="str">
        <f>VLOOKUP(16,pattern,3,FALSE)</f>
        <v>10</v>
      </c>
    </row>
    <row r="18" spans="1:3" ht="12.75">
      <c r="A18" s="59" t="str">
        <f t="shared" si="0"/>
        <v> </v>
      </c>
      <c r="B18" s="9">
        <f>VLOOKUP(17,pattern,2,FALSE)</f>
        <v>0</v>
      </c>
      <c r="C18" s="61" t="str">
        <f>VLOOKUP(17,pattern,3,FALSE)</f>
        <v>10</v>
      </c>
    </row>
    <row r="19" spans="1:3" ht="12.75">
      <c r="A19" s="59" t="str">
        <f t="shared" si="0"/>
        <v> </v>
      </c>
      <c r="B19" s="9">
        <f>VLOOKUP(18,pattern,2,FALSE)</f>
        <v>0</v>
      </c>
      <c r="C19" s="61" t="str">
        <f>VLOOKUP(18,pattern,3,FALSE)</f>
        <v>R</v>
      </c>
    </row>
    <row r="21" spans="1:9" ht="12.75">
      <c r="A21" t="s">
        <v>39</v>
      </c>
      <c r="B21" s="15">
        <f>SUM(B2:B19)</f>
        <v>0.974950495049505</v>
      </c>
      <c r="G21" t="s">
        <v>98</v>
      </c>
      <c r="H21" t="s">
        <v>97</v>
      </c>
      <c r="I21" t="s">
        <v>91</v>
      </c>
    </row>
    <row r="22" spans="7:9" ht="12.75">
      <c r="G22" s="60">
        <f>SETUP!B36</f>
        <v>1</v>
      </c>
      <c r="H22">
        <f>F6</f>
        <v>0.03135313531353135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0.04174917491749175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0.012524752475247525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0.03757425742574257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0.0016501650165016502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0.0693036303630363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0.0429042904290429</v>
      </c>
      <c r="I28" s="59" t="str">
        <f>SETUP!D42</f>
        <v>7</v>
      </c>
    </row>
    <row r="29" spans="7:9" ht="12.75">
      <c r="G29" s="60">
        <f>SETUP!B43</f>
        <v>14</v>
      </c>
      <c r="H29">
        <f>I10*SETUP!B25</f>
        <v>0.050099009900990095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0.07590759075907591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0.23927392739273928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0.0627062706270627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0.05594389438943895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0.12871287128712872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0.12524752475247525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16</v>
      </c>
      <c r="B1" s="6" t="s">
        <v>17</v>
      </c>
      <c r="C1" s="5" t="s">
        <v>18</v>
      </c>
      <c r="D1" s="7" t="s">
        <v>19</v>
      </c>
      <c r="F1">
        <f>E2+E7</f>
        <v>310</v>
      </c>
    </row>
    <row r="2" spans="1:9" ht="12.75">
      <c r="A2" s="59" t="str">
        <f>IF(B2&gt;0,C2," ")</f>
        <v>1</v>
      </c>
      <c r="B2" s="9">
        <f>VLOOKUP(1,pattern2,2,FALSE)</f>
        <v>0.02903225806451613</v>
      </c>
      <c r="C2" s="61" t="str">
        <f>VLOOKUP(1,pattern2,3,FALSE)</f>
        <v>1</v>
      </c>
      <c r="D2" s="11" t="s">
        <v>20</v>
      </c>
      <c r="E2" s="25">
        <f>IF(stats!G4&gt;0,stats!G4,1)</f>
        <v>276</v>
      </c>
      <c r="H2" t="s">
        <v>21</v>
      </c>
      <c r="I2" s="25" t="str">
        <f>IF(stats!B4=0,"",stats!B4)</f>
        <v>Shane</v>
      </c>
    </row>
    <row r="3" spans="1:9" ht="12.75">
      <c r="A3" s="59" t="str">
        <f aca="true" t="shared" si="0" ref="A3:A19">IF(B3&gt;0,C3," ")</f>
        <v>10</v>
      </c>
      <c r="B3" s="9">
        <f>VLOOKUP(2,pattern2,2,FALSE)</f>
        <v>0.22580645161290322</v>
      </c>
      <c r="C3" s="61" t="str">
        <f>VLOOKUP(2,pattern2,3,FALSE)</f>
        <v>10</v>
      </c>
      <c r="D3" s="11" t="s">
        <v>22</v>
      </c>
      <c r="E3" s="25">
        <f>stats!H4</f>
        <v>67</v>
      </c>
      <c r="H3" t="s">
        <v>23</v>
      </c>
      <c r="I3" s="26" t="str">
        <f>IF(stats!C4=0,"",stats!C4)</f>
        <v>SPENCER</v>
      </c>
    </row>
    <row r="4" spans="1:9" ht="12.75">
      <c r="A4" s="59" t="str">
        <f t="shared" si="0"/>
        <v>7</v>
      </c>
      <c r="B4" s="9">
        <f>VLOOKUP(3,pattern2,2,FALSE)</f>
        <v>0.03387096774193549</v>
      </c>
      <c r="C4" s="61" t="str">
        <f>VLOOKUP(3,pattern2,3,FALSE)</f>
        <v>7</v>
      </c>
      <c r="D4" s="11" t="s">
        <v>24</v>
      </c>
      <c r="E4" s="25">
        <f>stats!I4</f>
        <v>16</v>
      </c>
      <c r="F4">
        <f>E4/F1</f>
        <v>0.05161290322580645</v>
      </c>
      <c r="H4" t="s">
        <v>4</v>
      </c>
      <c r="I4" s="25" t="str">
        <f>IF(stats!D4=0,"",stats!D4)</f>
        <v>Hanshin (CL) 2005</v>
      </c>
    </row>
    <row r="5" spans="1:9" ht="12.75">
      <c r="A5" s="59" t="str">
        <f t="shared" si="0"/>
        <v>6</v>
      </c>
      <c r="B5" s="9">
        <f>VLOOKUP(4,pattern2,2,FALSE)</f>
        <v>0.07443225806451613</v>
      </c>
      <c r="C5" s="61" t="str">
        <f>VLOOKUP(4,pattern2,3,FALSE)</f>
        <v>6</v>
      </c>
      <c r="D5" s="11" t="s">
        <v>25</v>
      </c>
      <c r="E5" s="25">
        <f>stats!J4</f>
        <v>0</v>
      </c>
      <c r="F5">
        <f>E5/F1</f>
        <v>0</v>
      </c>
      <c r="H5" t="s">
        <v>26</v>
      </c>
      <c r="I5" s="25">
        <f>IF(OR(stats!F4="",stats!F4=0),"",stats!E4)</f>
      </c>
    </row>
    <row r="6" spans="1:9" ht="12.75">
      <c r="A6" s="59" t="str">
        <f t="shared" si="0"/>
        <v>11</v>
      </c>
      <c r="B6" s="9">
        <f>VLOOKUP(5,pattern2,2,FALSE)</f>
        <v>0.05161290322580645</v>
      </c>
      <c r="C6" s="61" t="str">
        <f>VLOOKUP(5,pattern2,3,FALSE)</f>
        <v>11</v>
      </c>
      <c r="D6" s="11" t="s">
        <v>27</v>
      </c>
      <c r="E6" s="25">
        <f>stats!K4</f>
        <v>9</v>
      </c>
      <c r="F6">
        <f>E6/F1</f>
        <v>0.02903225806451613</v>
      </c>
      <c r="G6" s="12"/>
      <c r="H6" t="s">
        <v>28</v>
      </c>
      <c r="I6" s="25" t="str">
        <f>IF(stats!F4="",stats!E4,IF(stats!F4=0,"pinch hitter",stats!F4))</f>
        <v>Outfield</v>
      </c>
    </row>
    <row r="7" spans="1:9" ht="12.75">
      <c r="A7" s="59" t="str">
        <f t="shared" si="0"/>
        <v>14</v>
      </c>
      <c r="B7" s="9">
        <f>VLOOKUP(6,pattern2,2,FALSE)</f>
        <v>0.13451612903225804</v>
      </c>
      <c r="C7" s="61" t="str">
        <f>VLOOKUP(6,pattern2,3,FALSE)</f>
        <v>14</v>
      </c>
      <c r="D7" s="11" t="s">
        <v>29</v>
      </c>
      <c r="E7" s="25">
        <f>stats!L4</f>
        <v>34</v>
      </c>
      <c r="F7">
        <f>E7/F1</f>
        <v>0.10967741935483871</v>
      </c>
      <c r="H7" t="s">
        <v>15</v>
      </c>
      <c r="I7" s="25" t="str">
        <f>IF(stats!O4=0,"",IF(OR(stats!O4="s",stats!O4="S"),E15,stats!O4))</f>
        <v>Avg:  .243
Bats:  Right
SB:  0/1/0%</v>
      </c>
    </row>
    <row r="8" spans="1:5" ht="12.75">
      <c r="A8" s="59" t="str">
        <f t="shared" si="0"/>
        <v>2</v>
      </c>
      <c r="B8" s="9">
        <f>VLOOKUP(7,pattern2,2,FALSE)</f>
        <v>0.044838709677419354</v>
      </c>
      <c r="C8" s="61" t="str">
        <f>VLOOKUP(7,pattern2,3,FALSE)</f>
        <v>2</v>
      </c>
      <c r="E8" s="25"/>
    </row>
    <row r="9" spans="1:11" ht="12.75">
      <c r="A9" s="59" t="str">
        <f t="shared" si="0"/>
        <v>9</v>
      </c>
      <c r="B9" s="9">
        <f>VLOOKUP(8,pattern2,2,FALSE)</f>
        <v>0.10967741935483871</v>
      </c>
      <c r="C9" s="61" t="str">
        <f>VLOOKUP(8,pattern2,3,FALSE)</f>
        <v>9</v>
      </c>
      <c r="D9" s="11" t="s">
        <v>30</v>
      </c>
      <c r="E9" s="25">
        <f>stats!M4</f>
        <v>70</v>
      </c>
      <c r="F9">
        <f>E9/F1</f>
        <v>0.22580645161290322</v>
      </c>
      <c r="G9" s="12"/>
      <c r="I9" t="s">
        <v>70</v>
      </c>
      <c r="K9" t="s">
        <v>31</v>
      </c>
    </row>
    <row r="10" spans="1:11" ht="12.75">
      <c r="A10" s="59" t="str">
        <f t="shared" si="0"/>
        <v>4</v>
      </c>
      <c r="B10" s="9">
        <f>VLOOKUP(9,pattern2,2,FALSE)</f>
        <v>0.04035483870967741</v>
      </c>
      <c r="C10" s="61" t="str">
        <f>VLOOKUP(9,pattern2,3,FALSE)</f>
        <v>4</v>
      </c>
      <c r="D10" s="11" t="s">
        <v>32</v>
      </c>
      <c r="E10" s="13" t="s">
        <v>33</v>
      </c>
      <c r="F10">
        <f>(E3-E4-E5-E6)/F1</f>
        <v>0.13548387096774195</v>
      </c>
      <c r="G10" s="14" t="s">
        <v>14</v>
      </c>
      <c r="H10" s="25">
        <f>IF(stats!N3&lt;1,50,IF(stats!N3&gt;75,75,stats!N3))</f>
        <v>40</v>
      </c>
      <c r="I10">
        <f>(H10/100)*F11*SETUP!B14</f>
        <v>0.17935483870967742</v>
      </c>
      <c r="K10" t="s">
        <v>34</v>
      </c>
    </row>
    <row r="11" spans="1:9" ht="12.75">
      <c r="A11" s="59" t="str">
        <f t="shared" si="0"/>
        <v> </v>
      </c>
      <c r="B11" s="9">
        <f>VLOOKUP(10,pattern2,2,FALSE)</f>
        <v>0</v>
      </c>
      <c r="C11" s="61" t="str">
        <f>VLOOKUP(10,pattern2,3,FALSE)</f>
        <v>5</v>
      </c>
      <c r="D11" s="11" t="s">
        <v>35</v>
      </c>
      <c r="E11" s="13" t="s">
        <v>33</v>
      </c>
      <c r="F11">
        <f>(E2-E3-E9)/F1</f>
        <v>0.4483870967741935</v>
      </c>
      <c r="G11" s="11" t="s">
        <v>36</v>
      </c>
      <c r="H11">
        <f>100-H10</f>
        <v>60</v>
      </c>
      <c r="I11">
        <f>(H11/100)*F11*SETUP!B14</f>
        <v>0.2690322580645161</v>
      </c>
    </row>
    <row r="12" spans="1:8" ht="12.75">
      <c r="A12" s="59" t="str">
        <f t="shared" si="0"/>
        <v>12</v>
      </c>
      <c r="B12" s="9">
        <f>VLOOKUP(11,pattern2,2,FALSE)</f>
        <v>0.06008387096774194</v>
      </c>
      <c r="C12" s="61" t="str">
        <f>VLOOKUP(11,pattern2,3,FALSE)</f>
        <v>12</v>
      </c>
      <c r="D12" s="11" t="s">
        <v>37</v>
      </c>
      <c r="E12" s="22" t="str">
        <f>IF(E3=E4,"1.000",TEXT(E3/E2,".000"))</f>
        <v>.243</v>
      </c>
      <c r="G12" s="11" t="s">
        <v>56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VLOOKUP(12,pattern2,2,FALSE)</f>
        <v>0.10161290322580646</v>
      </c>
      <c r="C13" s="61" t="str">
        <f>VLOOKUP(12,pattern2,3,FALSE)</f>
        <v>13</v>
      </c>
      <c r="F13">
        <f>SUM(F4:F11)</f>
        <v>1</v>
      </c>
      <c r="G13" t="s">
        <v>38</v>
      </c>
    </row>
    <row r="14" spans="1:5" ht="12.75">
      <c r="A14" s="59" t="str">
        <f t="shared" si="0"/>
        <v>3</v>
      </c>
      <c r="B14" s="9">
        <f>VLOOKUP(13,pattern2,2,FALSE)</f>
        <v>0.013451612903225805</v>
      </c>
      <c r="C14" s="61" t="str">
        <f>VLOOKUP(13,pattern2,3,FALSE)</f>
        <v>3</v>
      </c>
      <c r="E14" s="21" t="s">
        <v>43</v>
      </c>
    </row>
    <row r="15" spans="1:5" ht="12.75">
      <c r="A15" s="59" t="str">
        <f t="shared" si="0"/>
        <v>8</v>
      </c>
      <c r="B15" s="9">
        <f>VLOOKUP(14,pattern2,2,FALSE)</f>
        <v>0.08967741935483871</v>
      </c>
      <c r="C15" s="61" t="str">
        <f>VLOOKUP(14,pattern2,3,FALSE)</f>
        <v>8</v>
      </c>
      <c r="E15" s="24" t="str">
        <f>CONCATENATE("AB:",E2,"  HR:",E6,"  AVE:",T(E12))</f>
        <v>AB:276  HR:9  AVE:.243</v>
      </c>
    </row>
    <row r="16" spans="1:3" ht="12.75">
      <c r="A16" s="59" t="str">
        <f t="shared" si="0"/>
        <v> </v>
      </c>
      <c r="B16" s="9">
        <f>VLOOKUP(15,pattern2,2,FALSE)</f>
        <v>0</v>
      </c>
      <c r="C16" s="61" t="str">
        <f>VLOOKUP(15,pattern2,3,FALSE)</f>
        <v>9</v>
      </c>
    </row>
    <row r="17" spans="1:3" ht="12.75">
      <c r="A17" s="59" t="str">
        <f t="shared" si="0"/>
        <v> </v>
      </c>
      <c r="B17" s="9">
        <f>VLOOKUP(16,pattern2,2,FALSE)</f>
        <v>0</v>
      </c>
      <c r="C17" s="61" t="str">
        <f>VLOOKUP(16,pattern2,3,FALSE)</f>
        <v>10</v>
      </c>
    </row>
    <row r="18" spans="1:3" ht="12.75">
      <c r="A18" s="59" t="str">
        <f t="shared" si="0"/>
        <v> </v>
      </c>
      <c r="B18" s="9">
        <f>VLOOKUP(17,pattern2,2,FALSE)</f>
        <v>0</v>
      </c>
      <c r="C18" s="61" t="str">
        <f>VLOOKUP(17,pattern2,3,FALSE)</f>
        <v>10</v>
      </c>
    </row>
    <row r="19" spans="1:3" ht="12.75">
      <c r="A19" s="59" t="str">
        <f t="shared" si="0"/>
        <v> </v>
      </c>
      <c r="B19" s="9">
        <f>VLOOKUP(18,pattern2,2,FALSE)</f>
        <v>0</v>
      </c>
      <c r="C19" s="61" t="str">
        <f>VLOOKUP(18,pattern2,3,FALSE)</f>
        <v>R</v>
      </c>
    </row>
    <row r="21" spans="1:9" ht="12.75">
      <c r="A21" t="s">
        <v>39</v>
      </c>
      <c r="B21" s="15">
        <f>SUM(B2:B19)</f>
        <v>1.0089677419354837</v>
      </c>
      <c r="G21" t="s">
        <v>98</v>
      </c>
      <c r="H21" t="s">
        <v>97</v>
      </c>
      <c r="I21" t="s">
        <v>91</v>
      </c>
    </row>
    <row r="22" spans="7:9" ht="12.75">
      <c r="G22" s="60">
        <f>SETUP!B36</f>
        <v>1</v>
      </c>
      <c r="H22">
        <f>F6</f>
        <v>0.02903225806451613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0.044838709677419354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0.013451612903225805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0.04035483870967741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0.07443225806451613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0.03387096774193549</v>
      </c>
      <c r="I28" s="59" t="str">
        <f>SETUP!D42</f>
        <v>7</v>
      </c>
    </row>
    <row r="29" spans="7:9" ht="12.75">
      <c r="G29" s="60">
        <f>SETUP!B43</f>
        <v>14</v>
      </c>
      <c r="H29">
        <f>I10*SETUP!B26</f>
        <v>0.08967741935483871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0.10967741935483871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0.22580645161290322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0.05161290322580645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0.06008387096774194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0.10161290322580646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0.13451612903225804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16</v>
      </c>
      <c r="B1" s="6" t="s">
        <v>17</v>
      </c>
      <c r="C1" s="5" t="s">
        <v>18</v>
      </c>
      <c r="D1" s="7" t="s">
        <v>19</v>
      </c>
      <c r="F1">
        <f>E2+E7</f>
        <v>5</v>
      </c>
    </row>
    <row r="2" spans="1:9" ht="12.75">
      <c r="A2" s="59" t="str">
        <f>IF(B2&gt;0,C2," ")</f>
        <v> </v>
      </c>
      <c r="B2" s="9">
        <f>VLOOKUP(1,PATTERN3,2,FALSE)</f>
        <v>0</v>
      </c>
      <c r="C2" s="61" t="str">
        <f>VLOOKUP(1,PATTERN3,3,FALSE)</f>
        <v>1</v>
      </c>
      <c r="D2" s="11" t="s">
        <v>20</v>
      </c>
      <c r="E2" s="25">
        <f>IF(stats!G5&gt;0,stats!G5,1)</f>
        <v>5</v>
      </c>
      <c r="H2" t="s">
        <v>21</v>
      </c>
      <c r="I2" s="25" t="str">
        <f>IF(stats!B5=0,"",stats!B5)</f>
        <v>Shuta</v>
      </c>
    </row>
    <row r="3" spans="1:9" ht="12.75">
      <c r="A3" s="59" t="str">
        <f aca="true" t="shared" si="0" ref="A3:A19">IF(B3&gt;0,C3," ")</f>
        <v>10</v>
      </c>
      <c r="B3" s="9">
        <f>VLOOKUP(2,PATTERN3,2,FALSE)</f>
        <v>0.4</v>
      </c>
      <c r="C3" s="61" t="str">
        <f>VLOOKUP(2,PATTERN3,3,FALSE)</f>
        <v>10</v>
      </c>
      <c r="D3" s="11" t="s">
        <v>22</v>
      </c>
      <c r="E3" s="25">
        <f>stats!H5</f>
        <v>0</v>
      </c>
      <c r="H3" t="s">
        <v>23</v>
      </c>
      <c r="I3" s="26" t="str">
        <f>IF(stats!C5=0,"",stats!C5)</f>
        <v>TANAKA</v>
      </c>
    </row>
    <row r="4" spans="1:9" ht="12.75">
      <c r="A4" s="59" t="str">
        <f t="shared" si="0"/>
        <v> </v>
      </c>
      <c r="B4" s="9">
        <f>VLOOKUP(3,PATTERN3,2,FALSE)</f>
        <v>0</v>
      </c>
      <c r="C4" s="61" t="str">
        <f>VLOOKUP(3,PATTERN3,3,FALSE)</f>
        <v>7</v>
      </c>
      <c r="D4" s="11" t="s">
        <v>24</v>
      </c>
      <c r="E4" s="25">
        <f>stats!I5</f>
        <v>0</v>
      </c>
      <c r="F4">
        <f>E4/F1</f>
        <v>0</v>
      </c>
      <c r="H4" t="s">
        <v>4</v>
      </c>
      <c r="I4" s="25" t="str">
        <f>IF(stats!D5=0,"",stats!D5)</f>
        <v>Hanshin (CL) 2005</v>
      </c>
    </row>
    <row r="5" spans="1:9" ht="12.75">
      <c r="A5" s="59" t="str">
        <f t="shared" si="0"/>
        <v>6</v>
      </c>
      <c r="B5" s="9">
        <f>VLOOKUP(4,PATTERN3,2,FALSE)</f>
        <v>0.0996</v>
      </c>
      <c r="C5" s="61" t="str">
        <f>VLOOKUP(4,PATTERN3,3,FALSE)</f>
        <v>6</v>
      </c>
      <c r="D5" s="11" t="s">
        <v>25</v>
      </c>
      <c r="E5" s="25">
        <f>stats!J5</f>
        <v>0</v>
      </c>
      <c r="F5">
        <f>E5/F1</f>
        <v>0</v>
      </c>
      <c r="H5" t="s">
        <v>26</v>
      </c>
      <c r="I5" s="25" t="str">
        <f>IF(OR(stats!F5="",stats!F5=0),"",stats!E5)</f>
        <v>2nd Base</v>
      </c>
    </row>
    <row r="6" spans="1:9" ht="12.75">
      <c r="A6" s="59" t="str">
        <f t="shared" si="0"/>
        <v> </v>
      </c>
      <c r="B6" s="9">
        <f>VLOOKUP(5,PATTERN3,2,FALSE)</f>
        <v>0</v>
      </c>
      <c r="C6" s="61" t="str">
        <f>VLOOKUP(5,PATTERN3,3,FALSE)</f>
        <v>11</v>
      </c>
      <c r="D6" s="11" t="s">
        <v>27</v>
      </c>
      <c r="E6" s="25">
        <f>stats!K5</f>
        <v>0</v>
      </c>
      <c r="F6">
        <f>E6/F1</f>
        <v>0</v>
      </c>
      <c r="G6" s="12"/>
      <c r="H6" t="s">
        <v>28</v>
      </c>
      <c r="I6" s="25" t="str">
        <f>IF(stats!F5="",stats!E5,IF(stats!F5=0,"pinch hitter",stats!F5))</f>
        <v>3rd Base/PR</v>
      </c>
    </row>
    <row r="7" spans="1:9" ht="12.75">
      <c r="A7" s="59" t="str">
        <f t="shared" si="0"/>
        <v>14</v>
      </c>
      <c r="B7" s="9">
        <f>VLOOKUP(6,PATTERN3,2,FALSE)</f>
        <v>0.18</v>
      </c>
      <c r="C7" s="61" t="str">
        <f>VLOOKUP(6,PATTERN3,3,FALSE)</f>
        <v>14</v>
      </c>
      <c r="D7" s="11" t="s">
        <v>29</v>
      </c>
      <c r="E7" s="25">
        <f>stats!L5</f>
        <v>0</v>
      </c>
      <c r="F7">
        <f>E7/F1</f>
        <v>0</v>
      </c>
      <c r="H7" t="s">
        <v>15</v>
      </c>
      <c r="I7" s="25" t="str">
        <f>IF(stats!O5=0,"",IF(OR(stats!O5="s",stats!O5="S"),E15,stats!O5))</f>
        <v>Avg:  .000 (5 ABs)
Bats:  Left
SB:  0/2/0%</v>
      </c>
    </row>
    <row r="8" spans="1:5" ht="12.75">
      <c r="A8" s="59" t="str">
        <f t="shared" si="0"/>
        <v>2</v>
      </c>
      <c r="B8" s="9">
        <f>VLOOKUP(7,PATTERN3,2,FALSE)</f>
        <v>0.06</v>
      </c>
      <c r="C8" s="61" t="str">
        <f>VLOOKUP(7,PATTERN3,3,FALSE)</f>
        <v>2</v>
      </c>
      <c r="E8" s="25"/>
    </row>
    <row r="9" spans="1:11" ht="12.75">
      <c r="A9" s="59" t="str">
        <f t="shared" si="0"/>
        <v> </v>
      </c>
      <c r="B9" s="9">
        <f>VLOOKUP(8,PATTERN3,2,FALSE)</f>
        <v>0</v>
      </c>
      <c r="C9" s="61" t="str">
        <f>VLOOKUP(8,PATTERN3,3,FALSE)</f>
        <v>9</v>
      </c>
      <c r="D9" s="11" t="s">
        <v>30</v>
      </c>
      <c r="E9" s="25">
        <f>stats!M5</f>
        <v>2</v>
      </c>
      <c r="F9">
        <f>E9/F1</f>
        <v>0.4</v>
      </c>
      <c r="G9" s="12"/>
      <c r="I9" t="s">
        <v>70</v>
      </c>
      <c r="K9" t="s">
        <v>31</v>
      </c>
    </row>
    <row r="10" spans="1:11" ht="12.75">
      <c r="A10" s="59" t="str">
        <f t="shared" si="0"/>
        <v>4</v>
      </c>
      <c r="B10" s="9">
        <f>VLOOKUP(9,PATTERN3,2,FALSE)</f>
        <v>0.054</v>
      </c>
      <c r="C10" s="61" t="str">
        <f>VLOOKUP(9,PATTERN3,3,FALSE)</f>
        <v>4</v>
      </c>
      <c r="D10" s="11" t="s">
        <v>32</v>
      </c>
      <c r="E10" s="13" t="s">
        <v>33</v>
      </c>
      <c r="F10">
        <f>(E3-E4-E5-E6)/F1</f>
        <v>0</v>
      </c>
      <c r="G10" s="14" t="s">
        <v>14</v>
      </c>
      <c r="H10" s="25">
        <f>IF(stats!N3&lt;1,50,IF(stats!N3&gt;75,75,stats!N3))</f>
        <v>40</v>
      </c>
      <c r="I10">
        <f>(H10/100)*F11*SETUP!B14</f>
        <v>0.24</v>
      </c>
      <c r="K10" t="s">
        <v>34</v>
      </c>
    </row>
    <row r="11" spans="1:9" ht="12.75">
      <c r="A11" s="59" t="str">
        <f t="shared" si="0"/>
        <v> </v>
      </c>
      <c r="B11" s="9">
        <f>VLOOKUP(10,PATTERN3,2,FALSE)</f>
        <v>0</v>
      </c>
      <c r="C11" s="61" t="str">
        <f>VLOOKUP(10,PATTERN3,3,FALSE)</f>
        <v>5</v>
      </c>
      <c r="D11" s="11" t="s">
        <v>35</v>
      </c>
      <c r="E11" s="13" t="s">
        <v>33</v>
      </c>
      <c r="F11">
        <f>(E2-E3-E9)/F1</f>
        <v>0.6</v>
      </c>
      <c r="G11" s="11" t="s">
        <v>36</v>
      </c>
      <c r="H11">
        <f>100-H10</f>
        <v>60</v>
      </c>
      <c r="I11">
        <f>(H11/100)*F11*SETUP!B14</f>
        <v>0.36</v>
      </c>
    </row>
    <row r="12" spans="1:8" ht="12.75">
      <c r="A12" s="59" t="str">
        <f t="shared" si="0"/>
        <v>12</v>
      </c>
      <c r="B12" s="9">
        <f>VLOOKUP(11,PATTERN3,2,FALSE)</f>
        <v>0.0804</v>
      </c>
      <c r="C12" s="61" t="str">
        <f>VLOOKUP(11,PATTERN3,3,FALSE)</f>
        <v>12</v>
      </c>
      <c r="D12" s="11" t="s">
        <v>37</v>
      </c>
      <c r="E12" s="22" t="str">
        <f>IF(E3=E4,"1.000",TEXT(E3/E2,".000"))</f>
        <v>1.000</v>
      </c>
      <c r="G12" s="11" t="s">
        <v>56</v>
      </c>
      <c r="H12">
        <f>(1-SETUP!B14)*F11</f>
        <v>0</v>
      </c>
    </row>
    <row r="13" spans="1:7" ht="12.75">
      <c r="A13" s="59" t="str">
        <f t="shared" si="0"/>
        <v> </v>
      </c>
      <c r="B13" s="9">
        <f>VLOOKUP(12,PATTERN3,2,FALSE)</f>
        <v>0</v>
      </c>
      <c r="C13" s="61" t="str">
        <f>VLOOKUP(12,PATTERN3,3,FALSE)</f>
        <v>13</v>
      </c>
      <c r="F13">
        <f>SUM(F4:F11)</f>
        <v>1</v>
      </c>
      <c r="G13" t="s">
        <v>38</v>
      </c>
    </row>
    <row r="14" spans="1:5" ht="12.75">
      <c r="A14" s="59" t="str">
        <f t="shared" si="0"/>
        <v>3</v>
      </c>
      <c r="B14" s="9">
        <f>VLOOKUP(13,PATTERN3,2,FALSE)</f>
        <v>0.018</v>
      </c>
      <c r="C14" s="61" t="str">
        <f>VLOOKUP(13,PATTERN3,3,FALSE)</f>
        <v>3</v>
      </c>
      <c r="E14" s="21" t="s">
        <v>43</v>
      </c>
    </row>
    <row r="15" spans="1:5" ht="12.75">
      <c r="A15" s="59" t="str">
        <f t="shared" si="0"/>
        <v>8</v>
      </c>
      <c r="B15" s="9">
        <f>VLOOKUP(14,PATTERN3,2,FALSE)</f>
        <v>0.12</v>
      </c>
      <c r="C15" s="61" t="str">
        <f>VLOOKUP(14,PATTERN3,3,FALSE)</f>
        <v>8</v>
      </c>
      <c r="E15" s="24" t="str">
        <f>CONCATENATE("AB:",E2,"  HR:",E6,"  AVE:",T(E12))</f>
        <v>AB:5  HR:0  AVE:1.000</v>
      </c>
    </row>
    <row r="16" spans="1:3" ht="12.75">
      <c r="A16" s="59" t="str">
        <f t="shared" si="0"/>
        <v> </v>
      </c>
      <c r="B16" s="9">
        <f>VLOOKUP(15,PATTERN3,2,FALSE)</f>
        <v>0</v>
      </c>
      <c r="C16" s="61" t="str">
        <f>VLOOKUP(15,PATTERN3,3,FALSE)</f>
        <v>9</v>
      </c>
    </row>
    <row r="17" spans="1:3" ht="12.75">
      <c r="A17" s="59" t="str">
        <f t="shared" si="0"/>
        <v> </v>
      </c>
      <c r="B17" s="9">
        <f>VLOOKUP(16,PATTERN3,2,FALSE)</f>
        <v>0</v>
      </c>
      <c r="C17" s="61" t="str">
        <f>VLOOKUP(16,PATTERN3,3,FALSE)</f>
        <v>10</v>
      </c>
    </row>
    <row r="18" spans="1:3" ht="12.75">
      <c r="A18" s="59" t="str">
        <f t="shared" si="0"/>
        <v> </v>
      </c>
      <c r="B18" s="9">
        <f>VLOOKUP(17,PATTERN3,2,FALSE)</f>
        <v>0</v>
      </c>
      <c r="C18" s="61" t="str">
        <f>VLOOKUP(17,PATTERN3,3,FALSE)</f>
        <v>10</v>
      </c>
    </row>
    <row r="19" spans="1:3" ht="12.75">
      <c r="A19" s="59" t="str">
        <f t="shared" si="0"/>
        <v> </v>
      </c>
      <c r="B19" s="9">
        <f>VLOOKUP(18,PATTERN3,2,FALSE)</f>
        <v>0</v>
      </c>
      <c r="C19" s="61" t="str">
        <f>VLOOKUP(18,PATTERN3,3,FALSE)</f>
        <v>R</v>
      </c>
    </row>
    <row r="21" spans="1:9" ht="12.75">
      <c r="A21" t="s">
        <v>39</v>
      </c>
      <c r="B21" s="15">
        <f>SUM(B2:B19)</f>
        <v>1.012</v>
      </c>
      <c r="G21" t="s">
        <v>98</v>
      </c>
      <c r="H21" t="s">
        <v>97</v>
      </c>
      <c r="I21" t="s">
        <v>91</v>
      </c>
    </row>
    <row r="22" spans="7:9" ht="12.75">
      <c r="G22" s="60">
        <f>SETUP!B36</f>
        <v>1</v>
      </c>
      <c r="H22">
        <f>F6</f>
        <v>0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0.06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0.018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0.054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0.0996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</v>
      </c>
      <c r="I28" s="59" t="str">
        <f>SETUP!D42</f>
        <v>7</v>
      </c>
    </row>
    <row r="29" spans="7:9" ht="12.75">
      <c r="G29" s="60">
        <f>SETUP!B43</f>
        <v>14</v>
      </c>
      <c r="H29">
        <f>I10*SETUP!B26</f>
        <v>0.12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0.4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0.0804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0.18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16</v>
      </c>
      <c r="B1" s="6" t="s">
        <v>17</v>
      </c>
      <c r="C1" s="5" t="s">
        <v>18</v>
      </c>
      <c r="D1" s="7" t="s">
        <v>19</v>
      </c>
      <c r="F1">
        <f>E2+E7</f>
        <v>625</v>
      </c>
    </row>
    <row r="2" spans="1:9" ht="12.75">
      <c r="A2" s="59" t="str">
        <f>IF(B2&gt;0,C2," ")</f>
        <v>1</v>
      </c>
      <c r="B2" s="9">
        <f>VLOOKUP(1,PATTERN4,2,FALSE)</f>
        <v>0.0144</v>
      </c>
      <c r="C2" s="61" t="str">
        <f>VLOOKUP(1,PATTERN4,3,FALSE)</f>
        <v>1</v>
      </c>
      <c r="D2" s="11" t="s">
        <v>20</v>
      </c>
      <c r="E2" s="25">
        <f>IF(stats!G6&gt;0,stats!G6,1)</f>
        <v>572</v>
      </c>
      <c r="H2" t="s">
        <v>21</v>
      </c>
      <c r="I2" s="25" t="str">
        <f>IF(stats!B6=0,"",stats!B6)</f>
        <v>Takashi</v>
      </c>
    </row>
    <row r="3" spans="1:9" ht="12.75">
      <c r="A3" s="59" t="str">
        <f aca="true" t="shared" si="0" ref="A3:A19">IF(B3&gt;0,C3," ")</f>
        <v>10</v>
      </c>
      <c r="B3" s="9">
        <f>VLOOKUP(2,PATTERN4,2,FALSE)</f>
        <v>0.184</v>
      </c>
      <c r="C3" s="61" t="str">
        <f>VLOOKUP(2,PATTERN4,3,FALSE)</f>
        <v>10</v>
      </c>
      <c r="D3" s="11" t="s">
        <v>22</v>
      </c>
      <c r="E3" s="25">
        <f>stats!H6</f>
        <v>159</v>
      </c>
      <c r="H3" t="s">
        <v>23</v>
      </c>
      <c r="I3" s="26" t="str">
        <f>IF(stats!C6=0,"",stats!C6)</f>
        <v>TORITANI</v>
      </c>
    </row>
    <row r="4" spans="1:9" ht="12.75">
      <c r="A4" s="59" t="str">
        <f t="shared" si="0"/>
        <v>7</v>
      </c>
      <c r="B4" s="9">
        <f>VLOOKUP(3,PATTERN4,2,FALSE)</f>
        <v>0.0488</v>
      </c>
      <c r="C4" s="61" t="str">
        <f>VLOOKUP(3,PATTERN4,3,FALSE)</f>
        <v>7</v>
      </c>
      <c r="D4" s="11" t="s">
        <v>24</v>
      </c>
      <c r="E4" s="25">
        <f>stats!I6</f>
        <v>27</v>
      </c>
      <c r="F4">
        <f>E4/F1</f>
        <v>0.0432</v>
      </c>
      <c r="H4" t="s">
        <v>4</v>
      </c>
      <c r="I4" s="25" t="str">
        <f>IF(stats!D6=0,"",stats!D6)</f>
        <v>Hanshin (CL) 2005</v>
      </c>
    </row>
    <row r="5" spans="1:9" ht="12.75">
      <c r="A5" s="59" t="str">
        <f t="shared" si="0"/>
        <v>6</v>
      </c>
      <c r="B5" s="9">
        <f>VLOOKUP(4,PATTERN4,2,FALSE)</f>
        <v>0.07914879999999999</v>
      </c>
      <c r="C5" s="61" t="str">
        <f>VLOOKUP(4,PATTERN4,3,FALSE)</f>
        <v>6</v>
      </c>
      <c r="D5" s="11" t="s">
        <v>25</v>
      </c>
      <c r="E5" s="25">
        <f>stats!J6</f>
        <v>1</v>
      </c>
      <c r="F5">
        <f>E5/F1</f>
        <v>0.0016</v>
      </c>
      <c r="H5" t="s">
        <v>26</v>
      </c>
      <c r="I5" s="25" t="str">
        <f>IF(OR(stats!F6="",stats!F6=0),"",stats!E6)</f>
        <v>Shortstop</v>
      </c>
    </row>
    <row r="6" spans="1:9" ht="12.75">
      <c r="A6" s="59" t="str">
        <f t="shared" si="0"/>
        <v>11</v>
      </c>
      <c r="B6" s="9">
        <f>VLOOKUP(5,PATTERN4,2,FALSE)</f>
        <v>0.0432</v>
      </c>
      <c r="C6" s="61" t="str">
        <f>VLOOKUP(5,PATTERN4,3,FALSE)</f>
        <v>11</v>
      </c>
      <c r="D6" s="11" t="s">
        <v>27</v>
      </c>
      <c r="E6" s="25">
        <f>stats!K6</f>
        <v>9</v>
      </c>
      <c r="F6">
        <f>E6/F1</f>
        <v>0.0144</v>
      </c>
      <c r="G6" s="12"/>
      <c r="H6" t="s">
        <v>28</v>
      </c>
      <c r="I6" s="25" t="str">
        <f>IF(stats!F6="",stats!E6,IF(stats!F6=0,"pinch hitter",stats!F6))</f>
        <v>3rd Base</v>
      </c>
    </row>
    <row r="7" spans="1:9" ht="12.75">
      <c r="A7" s="59" t="str">
        <f t="shared" si="0"/>
        <v>14</v>
      </c>
      <c r="B7" s="9">
        <f>VLOOKUP(6,PATTERN4,2,FALSE)</f>
        <v>0.14304</v>
      </c>
      <c r="C7" s="61" t="str">
        <f>VLOOKUP(6,PATTERN4,3,FALSE)</f>
        <v>14</v>
      </c>
      <c r="D7" s="11" t="s">
        <v>29</v>
      </c>
      <c r="E7" s="25">
        <f>stats!L6</f>
        <v>53</v>
      </c>
      <c r="F7">
        <f>E7/F1</f>
        <v>0.0848</v>
      </c>
      <c r="H7" t="s">
        <v>15</v>
      </c>
      <c r="I7" s="25" t="str">
        <f>IF(stats!O6=0,"",IF(OR(stats!O6="s",stats!O6="S"),E15,stats!O6))</f>
        <v>Avg:  .278
Bats:  Left
SB:  5/10/50%</v>
      </c>
    </row>
    <row r="8" spans="1:5" ht="12.75">
      <c r="A8" s="59" t="str">
        <f t="shared" si="0"/>
        <v>2</v>
      </c>
      <c r="B8" s="9">
        <f>VLOOKUP(7,PATTERN4,2,FALSE)</f>
        <v>0.04768</v>
      </c>
      <c r="C8" s="61" t="str">
        <f>VLOOKUP(7,PATTERN4,3,FALSE)</f>
        <v>2</v>
      </c>
      <c r="E8" s="25"/>
    </row>
    <row r="9" spans="1:11" ht="12.75">
      <c r="A9" s="59" t="str">
        <f t="shared" si="0"/>
        <v>9</v>
      </c>
      <c r="B9" s="9">
        <f>VLOOKUP(8,PATTERN4,2,FALSE)</f>
        <v>0.0848</v>
      </c>
      <c r="C9" s="61" t="str">
        <f>VLOOKUP(8,PATTERN4,3,FALSE)</f>
        <v>9</v>
      </c>
      <c r="D9" s="11" t="s">
        <v>30</v>
      </c>
      <c r="E9" s="25">
        <f>stats!M6</f>
        <v>115</v>
      </c>
      <c r="F9">
        <f>E9/F1</f>
        <v>0.184</v>
      </c>
      <c r="G9" s="12"/>
      <c r="I9" t="s">
        <v>70</v>
      </c>
      <c r="K9" t="s">
        <v>31</v>
      </c>
    </row>
    <row r="10" spans="1:11" ht="12.75">
      <c r="A10" s="59" t="str">
        <f t="shared" si="0"/>
        <v>4</v>
      </c>
      <c r="B10" s="9">
        <f>VLOOKUP(9,PATTERN4,2,FALSE)</f>
        <v>0.042912</v>
      </c>
      <c r="C10" s="61" t="str">
        <f>VLOOKUP(9,PATTERN4,3,FALSE)</f>
        <v>4</v>
      </c>
      <c r="D10" s="11" t="s">
        <v>32</v>
      </c>
      <c r="E10" s="13" t="s">
        <v>33</v>
      </c>
      <c r="F10">
        <f>(E3-E4-E5-E6)/F1</f>
        <v>0.1952</v>
      </c>
      <c r="G10" s="14" t="s">
        <v>14</v>
      </c>
      <c r="H10" s="25">
        <f>IF(stats!N3&lt;1,50,IF(stats!N3&gt;75,75,stats!N3))</f>
        <v>40</v>
      </c>
      <c r="I10">
        <f>(H10/100)*F11*SETUP!B14</f>
        <v>0.19072</v>
      </c>
      <c r="K10" t="s">
        <v>34</v>
      </c>
    </row>
    <row r="11" spans="1:9" ht="12.75">
      <c r="A11" s="59" t="str">
        <f t="shared" si="0"/>
        <v>5</v>
      </c>
      <c r="B11" s="9">
        <f>VLOOKUP(10,PATTERN4,2,FALSE)</f>
        <v>0.0016</v>
      </c>
      <c r="C11" s="61" t="str">
        <f>VLOOKUP(10,PATTERN4,3,FALSE)</f>
        <v>5</v>
      </c>
      <c r="D11" s="11" t="s">
        <v>35</v>
      </c>
      <c r="E11" s="13" t="s">
        <v>33</v>
      </c>
      <c r="F11">
        <f>(E2-E3-E9)/F1</f>
        <v>0.4768</v>
      </c>
      <c r="G11" s="11" t="s">
        <v>36</v>
      </c>
      <c r="H11">
        <f>100-H10</f>
        <v>60</v>
      </c>
      <c r="I11">
        <f>(H11/100)*F11*SETUP!B14</f>
        <v>0.28608</v>
      </c>
    </row>
    <row r="12" spans="1:8" ht="12.75">
      <c r="A12" s="59" t="str">
        <f t="shared" si="0"/>
        <v>12</v>
      </c>
      <c r="B12" s="9">
        <f>VLOOKUP(11,PATTERN4,2,FALSE)</f>
        <v>0.06389120000000001</v>
      </c>
      <c r="C12" s="61" t="str">
        <f>VLOOKUP(11,PATTERN4,3,FALSE)</f>
        <v>12</v>
      </c>
      <c r="D12" s="11" t="s">
        <v>37</v>
      </c>
      <c r="E12" s="22" t="str">
        <f>IF(E3=E4,"1.000",TEXT(E3/E2,".000"))</f>
        <v>.278</v>
      </c>
      <c r="G12" s="11" t="s">
        <v>56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VLOOKUP(12,PATTERN4,2,FALSE)</f>
        <v>0.1464</v>
      </c>
      <c r="C13" s="61" t="str">
        <f>VLOOKUP(12,PATTERN4,3,FALSE)</f>
        <v>13</v>
      </c>
      <c r="F13">
        <f>SUM(F4:F11)</f>
        <v>1</v>
      </c>
      <c r="G13" t="s">
        <v>38</v>
      </c>
    </row>
    <row r="14" spans="1:5" ht="12.75">
      <c r="A14" s="59" t="str">
        <f t="shared" si="0"/>
        <v>3</v>
      </c>
      <c r="B14" s="9">
        <f>VLOOKUP(13,PATTERN4,2,FALSE)</f>
        <v>0.014304</v>
      </c>
      <c r="C14" s="61" t="str">
        <f>VLOOKUP(13,PATTERN4,3,FALSE)</f>
        <v>3</v>
      </c>
      <c r="E14" s="21" t="s">
        <v>43</v>
      </c>
    </row>
    <row r="15" spans="1:5" ht="12.75">
      <c r="A15" s="59" t="str">
        <f t="shared" si="0"/>
        <v>8</v>
      </c>
      <c r="B15" s="9">
        <f>VLOOKUP(14,PATTERN4,2,FALSE)</f>
        <v>0.09536</v>
      </c>
      <c r="C15" s="61" t="str">
        <f>VLOOKUP(14,PATTERN4,3,FALSE)</f>
        <v>8</v>
      </c>
      <c r="E15" s="24" t="str">
        <f>CONCATENATE("AB:",E2,"  HR:",E6,"  AVE:",T(E12))</f>
        <v>AB:572  HR:9  AVE:.278</v>
      </c>
    </row>
    <row r="16" spans="1:3" ht="12.75">
      <c r="A16" s="59" t="str">
        <f t="shared" si="0"/>
        <v> </v>
      </c>
      <c r="B16" s="9">
        <f>VLOOKUP(15,PATTERN4,2,FALSE)</f>
        <v>0</v>
      </c>
      <c r="C16" s="61" t="str">
        <f>VLOOKUP(15,PATTERN4,3,FALSE)</f>
        <v>9</v>
      </c>
    </row>
    <row r="17" spans="1:3" ht="12.75">
      <c r="A17" s="59" t="str">
        <f t="shared" si="0"/>
        <v> </v>
      </c>
      <c r="B17" s="9">
        <f>VLOOKUP(16,PATTERN4,2,FALSE)</f>
        <v>0</v>
      </c>
      <c r="C17" s="61" t="str">
        <f>VLOOKUP(16,PATTERN4,3,FALSE)</f>
        <v>10</v>
      </c>
    </row>
    <row r="18" spans="1:3" ht="12.75">
      <c r="A18" s="59" t="str">
        <f t="shared" si="0"/>
        <v> </v>
      </c>
      <c r="B18" s="9">
        <f>VLOOKUP(17,PATTERN4,2,FALSE)</f>
        <v>0</v>
      </c>
      <c r="C18" s="61" t="str">
        <f>VLOOKUP(17,PATTERN4,3,FALSE)</f>
        <v>10</v>
      </c>
    </row>
    <row r="19" spans="1:3" ht="12.75">
      <c r="A19" s="59" t="str">
        <f t="shared" si="0"/>
        <v> </v>
      </c>
      <c r="B19" s="9">
        <f>VLOOKUP(18,PATTERN4,2,FALSE)</f>
        <v>0</v>
      </c>
      <c r="C19" s="61" t="str">
        <f>VLOOKUP(18,PATTERN4,3,FALSE)</f>
        <v>R</v>
      </c>
    </row>
    <row r="21" spans="1:9" ht="12.75">
      <c r="A21" t="s">
        <v>39</v>
      </c>
      <c r="B21" s="15">
        <f>SUM(B2:B19)</f>
        <v>1.009536</v>
      </c>
      <c r="G21" t="s">
        <v>98</v>
      </c>
      <c r="H21" t="s">
        <v>97</v>
      </c>
      <c r="I21" t="s">
        <v>91</v>
      </c>
    </row>
    <row r="22" spans="7:9" ht="12.75">
      <c r="G22" s="60">
        <f>SETUP!B36</f>
        <v>1</v>
      </c>
      <c r="H22">
        <f>F6</f>
        <v>0.0144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0.04768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0.014304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0.042912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0.0016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0.07914879999999999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0.0488</v>
      </c>
      <c r="I28" s="59" t="str">
        <f>SETUP!D42</f>
        <v>7</v>
      </c>
    </row>
    <row r="29" spans="7:9" ht="12.75">
      <c r="G29" s="60">
        <f>SETUP!B43</f>
        <v>14</v>
      </c>
      <c r="H29">
        <f>I10*SETUP!B26</f>
        <v>0.09536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0.0848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0.184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0.0432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0.06389120000000001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0.1464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0.14304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16</v>
      </c>
      <c r="B1" s="6" t="s">
        <v>17</v>
      </c>
      <c r="C1" s="5" t="s">
        <v>18</v>
      </c>
      <c r="D1" s="7" t="s">
        <v>19</v>
      </c>
      <c r="F1">
        <f>E2+E7</f>
        <v>531</v>
      </c>
    </row>
    <row r="2" spans="1:9" ht="12.75">
      <c r="A2" s="59" t="str">
        <f>IF(B2&gt;0,C2," ")</f>
        <v>1</v>
      </c>
      <c r="B2" s="9">
        <f>VLOOKUP(1,PATTERN5,2,FALSE)</f>
        <v>0.035781544256120526</v>
      </c>
      <c r="C2" s="61" t="str">
        <f>VLOOKUP(1,PATTERN5,3,FALSE)</f>
        <v>1</v>
      </c>
      <c r="D2" s="11" t="s">
        <v>20</v>
      </c>
      <c r="E2" s="25">
        <f>IF(stats!G7&gt;0,stats!G7,1)</f>
        <v>499</v>
      </c>
      <c r="H2" t="s">
        <v>21</v>
      </c>
      <c r="I2" s="25" t="str">
        <f>IF(stats!B7=0,"",stats!B7)</f>
        <v>Akihiro</v>
      </c>
    </row>
    <row r="3" spans="1:9" ht="12.75">
      <c r="A3" s="59" t="str">
        <f aca="true" t="shared" si="0" ref="A3:A19">IF(B3&gt;0,C3," ")</f>
        <v>10</v>
      </c>
      <c r="B3" s="9">
        <f>VLOOKUP(2,PATTERN5,2,FALSE)</f>
        <v>0.2128060263653484</v>
      </c>
      <c r="C3" s="61" t="str">
        <f>VLOOKUP(2,PATTERN5,3,FALSE)</f>
        <v>10</v>
      </c>
      <c r="D3" s="11" t="s">
        <v>22</v>
      </c>
      <c r="E3" s="25">
        <f>stats!H7</f>
        <v>135</v>
      </c>
      <c r="H3" t="s">
        <v>23</v>
      </c>
      <c r="I3" s="26" t="str">
        <f>IF(stats!C7=0,"",stats!C7)</f>
        <v>YANO</v>
      </c>
    </row>
    <row r="4" spans="1:9" ht="12.75">
      <c r="A4" s="59" t="str">
        <f t="shared" si="0"/>
        <v>7</v>
      </c>
      <c r="B4" s="9">
        <f>VLOOKUP(3,PATTERN5,2,FALSE)</f>
        <v>0.0423728813559322</v>
      </c>
      <c r="C4" s="61" t="str">
        <f>VLOOKUP(3,PATTERN5,3,FALSE)</f>
        <v>7</v>
      </c>
      <c r="D4" s="11" t="s">
        <v>24</v>
      </c>
      <c r="E4" s="25">
        <f>stats!I7</f>
        <v>26</v>
      </c>
      <c r="F4">
        <f>E4/F1</f>
        <v>0.04896421845574388</v>
      </c>
      <c r="H4" t="s">
        <v>4</v>
      </c>
      <c r="I4" s="25" t="str">
        <f>IF(stats!D7=0,"",stats!D7)</f>
        <v>Hanshin (CL) 2005</v>
      </c>
    </row>
    <row r="5" spans="1:9" ht="12.75">
      <c r="A5" s="59" t="str">
        <f t="shared" si="0"/>
        <v>6</v>
      </c>
      <c r="B5" s="9">
        <f>VLOOKUP(4,PATTERN5,2,FALSE)</f>
        <v>0.07846704331450094</v>
      </c>
      <c r="C5" s="61" t="str">
        <f>VLOOKUP(4,PATTERN5,3,FALSE)</f>
        <v>6</v>
      </c>
      <c r="D5" s="11" t="s">
        <v>25</v>
      </c>
      <c r="E5" s="25">
        <f>stats!J7</f>
        <v>0</v>
      </c>
      <c r="F5">
        <f>E5/F1</f>
        <v>0</v>
      </c>
      <c r="H5" t="s">
        <v>26</v>
      </c>
      <c r="I5" s="25">
        <f>IF(OR(stats!F7="",stats!F7=0),"",stats!E7)</f>
      </c>
    </row>
    <row r="6" spans="1:9" ht="12.75">
      <c r="A6" s="59" t="str">
        <f t="shared" si="0"/>
        <v>11</v>
      </c>
      <c r="B6" s="9">
        <f>VLOOKUP(5,PATTERN5,2,FALSE)</f>
        <v>0.04896421845574388</v>
      </c>
      <c r="C6" s="61" t="str">
        <f>VLOOKUP(5,PATTERN5,3,FALSE)</f>
        <v>11</v>
      </c>
      <c r="D6" s="11" t="s">
        <v>27</v>
      </c>
      <c r="E6" s="25">
        <f>stats!K7</f>
        <v>19</v>
      </c>
      <c r="F6">
        <f>E6/F1</f>
        <v>0.035781544256120526</v>
      </c>
      <c r="G6" s="12"/>
      <c r="H6" t="s">
        <v>28</v>
      </c>
      <c r="I6" s="25" t="str">
        <f>IF(stats!F7="",stats!E7,IF(stats!F7=0,"pinch hitter",stats!F7))</f>
        <v>Catcher</v>
      </c>
    </row>
    <row r="7" spans="1:9" ht="12.75">
      <c r="A7" s="59" t="str">
        <f t="shared" si="0"/>
        <v>14</v>
      </c>
      <c r="B7" s="9">
        <f>VLOOKUP(6,PATTERN5,2,FALSE)</f>
        <v>0.14180790960451978</v>
      </c>
      <c r="C7" s="61" t="str">
        <f>VLOOKUP(6,PATTERN5,3,FALSE)</f>
        <v>14</v>
      </c>
      <c r="D7" s="11" t="s">
        <v>29</v>
      </c>
      <c r="E7" s="25">
        <f>stats!L7</f>
        <v>32</v>
      </c>
      <c r="F7">
        <f>E7/F1</f>
        <v>0.060263653483992465</v>
      </c>
      <c r="H7" t="s">
        <v>15</v>
      </c>
      <c r="I7" s="25" t="str">
        <f>IF(stats!O7=0,"",IF(OR(stats!O7="s",stats!O7="S"),E15,stats!O7))</f>
        <v>Avg:  .271
Bats:  Right
SB:  1/2/50%</v>
      </c>
    </row>
    <row r="8" spans="1:5" ht="12.75">
      <c r="A8" s="59" t="str">
        <f t="shared" si="0"/>
        <v>2</v>
      </c>
      <c r="B8" s="9">
        <f>VLOOKUP(7,PATTERN5,2,FALSE)</f>
        <v>0.047269303201506595</v>
      </c>
      <c r="C8" s="61" t="str">
        <f>VLOOKUP(7,PATTERN5,3,FALSE)</f>
        <v>2</v>
      </c>
      <c r="E8" s="25"/>
    </row>
    <row r="9" spans="1:11" ht="12.75">
      <c r="A9" s="59" t="str">
        <f t="shared" si="0"/>
        <v>9</v>
      </c>
      <c r="B9" s="9">
        <f>VLOOKUP(8,PATTERN5,2,FALSE)</f>
        <v>0.060263653483992465</v>
      </c>
      <c r="C9" s="61" t="str">
        <f>VLOOKUP(8,PATTERN5,3,FALSE)</f>
        <v>9</v>
      </c>
      <c r="D9" s="11" t="s">
        <v>30</v>
      </c>
      <c r="E9" s="25">
        <f>stats!M7</f>
        <v>113</v>
      </c>
      <c r="F9">
        <f>E9/F1</f>
        <v>0.2128060263653484</v>
      </c>
      <c r="G9" s="12"/>
      <c r="I9" t="s">
        <v>70</v>
      </c>
      <c r="K9" t="s">
        <v>31</v>
      </c>
    </row>
    <row r="10" spans="1:11" ht="12.75">
      <c r="A10" s="59" t="str">
        <f t="shared" si="0"/>
        <v>4</v>
      </c>
      <c r="B10" s="9">
        <f>VLOOKUP(9,PATTERN5,2,FALSE)</f>
        <v>0.042542372881355935</v>
      </c>
      <c r="C10" s="61" t="str">
        <f>VLOOKUP(9,PATTERN5,3,FALSE)</f>
        <v>4</v>
      </c>
      <c r="D10" s="11" t="s">
        <v>32</v>
      </c>
      <c r="E10" s="13" t="s">
        <v>33</v>
      </c>
      <c r="F10">
        <f>(E3-E4-E5-E6)/F1</f>
        <v>0.1694915254237288</v>
      </c>
      <c r="G10" s="14" t="s">
        <v>14</v>
      </c>
      <c r="H10" s="25">
        <f>IF(stats!N3&lt;1,50,IF(stats!N3&gt;75,75,stats!N3))</f>
        <v>40</v>
      </c>
      <c r="I10">
        <f>(H10/100)*F11*SETUP!B14</f>
        <v>0.18907721280602638</v>
      </c>
      <c r="K10" t="s">
        <v>34</v>
      </c>
    </row>
    <row r="11" spans="1:9" ht="12.75">
      <c r="A11" s="59" t="str">
        <f t="shared" si="0"/>
        <v> </v>
      </c>
      <c r="B11" s="9">
        <f>VLOOKUP(10,PATTERN5,2,FALSE)</f>
        <v>0</v>
      </c>
      <c r="C11" s="61" t="str">
        <f>VLOOKUP(10,PATTERN5,3,FALSE)</f>
        <v>5</v>
      </c>
      <c r="D11" s="11" t="s">
        <v>35</v>
      </c>
      <c r="E11" s="13" t="s">
        <v>33</v>
      </c>
      <c r="F11">
        <f>(E2-E3-E9)/F1</f>
        <v>0.4726930320150659</v>
      </c>
      <c r="G11" s="11" t="s">
        <v>36</v>
      </c>
      <c r="H11">
        <f>100-H10</f>
        <v>60</v>
      </c>
      <c r="I11">
        <f>(H11/100)*F11*SETUP!B14</f>
        <v>0.28361581920903955</v>
      </c>
    </row>
    <row r="12" spans="1:8" ht="12.75">
      <c r="A12" s="59" t="str">
        <f t="shared" si="0"/>
        <v>12</v>
      </c>
      <c r="B12" s="9">
        <f>VLOOKUP(11,PATTERN5,2,FALSE)</f>
        <v>0.06334086629001884</v>
      </c>
      <c r="C12" s="61" t="str">
        <f>VLOOKUP(11,PATTERN5,3,FALSE)</f>
        <v>12</v>
      </c>
      <c r="D12" s="11" t="s">
        <v>37</v>
      </c>
      <c r="E12" s="22" t="str">
        <f>IF(E3=E4,"1.000",TEXT(E3/E2,".000"))</f>
        <v>.271</v>
      </c>
      <c r="G12" s="11" t="s">
        <v>56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VLOOKUP(12,PATTERN5,2,FALSE)</f>
        <v>0.1271186440677966</v>
      </c>
      <c r="C13" s="61" t="str">
        <f>VLOOKUP(12,PATTERN5,3,FALSE)</f>
        <v>13</v>
      </c>
      <c r="F13">
        <f>SUM(F4:F11)</f>
        <v>1</v>
      </c>
      <c r="G13" t="s">
        <v>38</v>
      </c>
    </row>
    <row r="14" spans="1:5" ht="12.75">
      <c r="A14" s="59" t="str">
        <f t="shared" si="0"/>
        <v>3</v>
      </c>
      <c r="B14" s="9">
        <f>VLOOKUP(13,PATTERN5,2,FALSE)</f>
        <v>0.014180790960451979</v>
      </c>
      <c r="C14" s="61" t="str">
        <f>VLOOKUP(13,PATTERN5,3,FALSE)</f>
        <v>3</v>
      </c>
      <c r="E14" s="21" t="s">
        <v>43</v>
      </c>
    </row>
    <row r="15" spans="1:5" ht="12.75">
      <c r="A15" s="59" t="str">
        <f t="shared" si="0"/>
        <v>8</v>
      </c>
      <c r="B15" s="9">
        <f>VLOOKUP(14,PATTERN5,2,FALSE)</f>
        <v>0.09453860640301319</v>
      </c>
      <c r="C15" s="61" t="str">
        <f>VLOOKUP(14,PATTERN5,3,FALSE)</f>
        <v>8</v>
      </c>
      <c r="E15" s="24" t="str">
        <f>CONCATENATE("AB:",E2,"  HR:",E6,"  AVE:",T(E12))</f>
        <v>AB:499  HR:19  AVE:.271</v>
      </c>
    </row>
    <row r="16" spans="1:3" ht="12.75">
      <c r="A16" s="59" t="str">
        <f t="shared" si="0"/>
        <v> </v>
      </c>
      <c r="B16" s="9">
        <f>VLOOKUP(15,PATTERN5,2,FALSE)</f>
        <v>0</v>
      </c>
      <c r="C16" s="61" t="str">
        <f>VLOOKUP(15,PATTERN5,3,FALSE)</f>
        <v>9</v>
      </c>
    </row>
    <row r="17" spans="1:3" ht="12.75">
      <c r="A17" s="59" t="str">
        <f t="shared" si="0"/>
        <v> </v>
      </c>
      <c r="B17" s="9">
        <f>VLOOKUP(16,PATTERN5,2,FALSE)</f>
        <v>0</v>
      </c>
      <c r="C17" s="61" t="str">
        <f>VLOOKUP(16,PATTERN5,3,FALSE)</f>
        <v>10</v>
      </c>
    </row>
    <row r="18" spans="1:3" ht="12.75">
      <c r="A18" s="59" t="str">
        <f t="shared" si="0"/>
        <v> </v>
      </c>
      <c r="B18" s="9">
        <f>VLOOKUP(17,PATTERN5,2,FALSE)</f>
        <v>0</v>
      </c>
      <c r="C18" s="61" t="str">
        <f>VLOOKUP(17,PATTERN5,3,FALSE)</f>
        <v>10</v>
      </c>
    </row>
    <row r="19" spans="1:3" ht="12.75">
      <c r="A19" s="59" t="str">
        <f t="shared" si="0"/>
        <v> </v>
      </c>
      <c r="B19" s="9">
        <f>VLOOKUP(18,PATTERN5,2,FALSE)</f>
        <v>0</v>
      </c>
      <c r="C19" s="61" t="str">
        <f>VLOOKUP(18,PATTERN5,3,FALSE)</f>
        <v>R</v>
      </c>
    </row>
    <row r="21" spans="1:9" ht="12.75">
      <c r="A21" t="s">
        <v>39</v>
      </c>
      <c r="B21" s="15">
        <f>SUM(B2:B19)</f>
        <v>1.0094538606403014</v>
      </c>
      <c r="G21" t="s">
        <v>98</v>
      </c>
      <c r="H21" t="s">
        <v>97</v>
      </c>
      <c r="I21" t="s">
        <v>91</v>
      </c>
    </row>
    <row r="22" spans="7:9" ht="12.75">
      <c r="G22" s="60">
        <f>SETUP!B36</f>
        <v>1</v>
      </c>
      <c r="H22">
        <f>F6</f>
        <v>0.035781544256120526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0.047269303201506595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0.014180790960451979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0.042542372881355935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0.07846704331450094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0.0423728813559322</v>
      </c>
      <c r="I28" s="59" t="str">
        <f>SETUP!D42</f>
        <v>7</v>
      </c>
    </row>
    <row r="29" spans="7:9" ht="12.75">
      <c r="G29" s="60">
        <f>SETUP!B43</f>
        <v>14</v>
      </c>
      <c r="H29">
        <f>I10*SETUP!B26</f>
        <v>0.09453860640301319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0.060263653483992465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0.2128060263653484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0.04896421845574388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0.06334086629001884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0.1271186440677966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0.14180790960451978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Rohan</dc:creator>
  <cp:keywords/>
  <dc:description/>
  <cp:lastModifiedBy>Gene Newman</cp:lastModifiedBy>
  <cp:lastPrinted>2006-02-25T01:13:39Z</cp:lastPrinted>
  <dcterms:created xsi:type="dcterms:W3CDTF">2002-08-30T15:09:38Z</dcterms:created>
  <dcterms:modified xsi:type="dcterms:W3CDTF">2006-02-25T01:14:00Z</dcterms:modified>
  <cp:category/>
  <cp:version/>
  <cp:contentType/>
  <cp:contentStatus/>
</cp:coreProperties>
</file>